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Kõik vallad" sheetId="1" r:id="rId4"/>
    <sheet state="visible" name="Kõik kokku" sheetId="2" r:id="rId5"/>
    <sheet state="visible" name="Leht8" sheetId="3" r:id="rId6"/>
    <sheet state="hidden" name="Peipsiääre vald" sheetId="4" r:id="rId7"/>
    <sheet state="hidden" name="Luunja vald" sheetId="5" r:id="rId8"/>
    <sheet state="hidden" name="Kastre vald" sheetId="6" r:id="rId9"/>
    <sheet state="hidden" name="Kambja vald" sheetId="7" r:id="rId10"/>
    <sheet state="hidden" name="Tartu linn" sheetId="8" r:id="rId11"/>
    <sheet state="hidden" name="Tartu vald" sheetId="9" r:id="rId12"/>
    <sheet state="hidden" name="Nõo vald" sheetId="10" r:id="rId13"/>
    <sheet state="hidden" name="Elva vald" sheetId="11" r:id="rId14"/>
    <sheet state="hidden" name="Räpina vald" sheetId="12" r:id="rId15"/>
    <sheet state="hidden" name="Põlva vald" sheetId="13" r:id="rId16"/>
    <sheet state="hidden" name="Kanepi vald" sheetId="14" r:id="rId17"/>
    <sheet state="hidden" name="Antsla vald" sheetId="15" r:id="rId18"/>
    <sheet state="hidden" name="Setomaa vald" sheetId="16" r:id="rId19"/>
    <sheet state="hidden" name="Võru linn" sheetId="17" r:id="rId20"/>
    <sheet state="hidden" name="Võru vald" sheetId="18" r:id="rId21"/>
    <sheet state="hidden" name="Rõuge vald" sheetId="19" r:id="rId22"/>
    <sheet state="hidden" name="Valga vald" sheetId="20" r:id="rId23"/>
    <sheet state="hidden" name="Tõrva vald" sheetId="21" r:id="rId24"/>
    <sheet state="hidden" name="Otepää vald" sheetId="22" r:id="rId25"/>
    <sheet state="hidden" name="Viljandi linn" sheetId="23" r:id="rId26"/>
    <sheet state="hidden" name="Kontroll" sheetId="24" r:id="rId27"/>
  </sheets>
  <definedNames>
    <definedName hidden="1" localSheetId="1" name="Z_3CCF8C87_9E33_4F18_BF1C_F0917FE8CEC7_.wvu.FilterData">'Kõik kokku'!$A$1:$Z$644</definedName>
    <definedName hidden="1" localSheetId="1" name="Z_146483DD_2730_4DBC_B97B_98C9B3612340_.wvu.FilterData">'Kõik kokku'!$A$1:$Z$1549</definedName>
    <definedName hidden="1" localSheetId="1" name="Z_92C93901_3AA5_4F37_8017_7D38BBFEC74F_.wvu.FilterData">'Kõik kokku'!$A$1:$Z$672</definedName>
  </definedNames>
  <calcPr/>
  <customWorkbookViews>
    <customWorkbookView activeSheetId="0" maximized="1" windowHeight="0" windowWidth="0" guid="{92C93901-3AA5-4F37-8017-7D38BBFEC74F}" name="Filter 2"/>
    <customWorkbookView activeSheetId="0" maximized="1" windowHeight="0" windowWidth="0" guid="{3CCF8C87-9E33-4F18-BF1C-F0917FE8CEC7}" name="Filter 3"/>
    <customWorkbookView activeSheetId="0" maximized="1" windowHeight="0" windowWidth="0" guid="{146483DD-2730-4DBC-B97B-98C9B3612340}" name="Filter 1"/>
  </customWorkbookViews>
  <extLst>
    <ext uri="GoogleSheetsCustomDataVersion1">
      <go:sheetsCustomData xmlns:go="http://customooxmlschemas.google.com/" r:id="rId28" roundtripDataSignature="AMtx7mhvpZFpcpgemK6klWYKezGPCRcrwA=="/>
    </ext>
  </extLst>
</workbook>
</file>

<file path=xl/sharedStrings.xml><?xml version="1.0" encoding="utf-8"?>
<sst xmlns="http://schemas.openxmlformats.org/spreadsheetml/2006/main" count="13989" uniqueCount="3615">
  <si>
    <t>Asutuse nimi</t>
  </si>
  <si>
    <t>Omavalitsus</t>
  </si>
  <si>
    <t>Asutuse tüüp</t>
  </si>
  <si>
    <t>Koduleht</t>
  </si>
  <si>
    <t>Kontakttelefon</t>
  </si>
  <si>
    <t>e-mail</t>
  </si>
  <si>
    <t>Kontaktisiku nimi</t>
  </si>
  <si>
    <t>Postiaadress</t>
  </si>
  <si>
    <t>Mahutavus (inimesi)</t>
  </si>
  <si>
    <t>Saali olemasolu</t>
  </si>
  <si>
    <t>Saali asukoht (korrus)</t>
  </si>
  <si>
    <t>Saali mahutavus</t>
  </si>
  <si>
    <t>Saali lava mõõtmed</t>
  </si>
  <si>
    <t>Helitehnilised võimalused</t>
  </si>
  <si>
    <t>Valgustehnilised võimalused</t>
  </si>
  <si>
    <t>Esitlustehnika võimalused</t>
  </si>
  <si>
    <t>ekraanimõõtmed (cm)</t>
  </si>
  <si>
    <t>Näitusesaali/galerii olemasolu</t>
  </si>
  <si>
    <t>Näitusesaali/galerii võimalused</t>
  </si>
  <si>
    <t>Peakaitsme võimsus</t>
  </si>
  <si>
    <t>Juurdepääs ratastooliga</t>
  </si>
  <si>
    <t>Internetiühendus</t>
  </si>
  <si>
    <t>Tualettide info</t>
  </si>
  <si>
    <t>Parkimise info</t>
  </si>
  <si>
    <t>Vabaõhusündmuste paiga olemasolu</t>
  </si>
  <si>
    <t>E-mail</t>
  </si>
  <si>
    <t>II saali mahutavus</t>
  </si>
  <si>
    <t>Kolkja rahvamaja</t>
  </si>
  <si>
    <t>Peipsiääre vald</t>
  </si>
  <si>
    <t>Kultuurikeskus</t>
  </si>
  <si>
    <t>5692 6183</t>
  </si>
  <si>
    <t>marina.losak@peipsivald.ee</t>
  </si>
  <si>
    <t>Marina Lõsak</t>
  </si>
  <si>
    <t>Kolkja alevik, Peipsiääre vald, Tartumaa 60301</t>
  </si>
  <si>
    <t>Jah</t>
  </si>
  <si>
    <t>Esimene</t>
  </si>
  <si>
    <t>9,4x3,5</t>
  </si>
  <si>
    <t>Olemas</t>
  </si>
  <si>
    <t>Ei</t>
  </si>
  <si>
    <t>Kunstiteoste seinale riputamisvõimalus</t>
  </si>
  <si>
    <t>40A</t>
  </si>
  <si>
    <t>WiFi</t>
  </si>
  <si>
    <t>15 kohta parklas</t>
  </si>
  <si>
    <t>Paigaldatavad istmed, statsionaarne vabaõhulava</t>
  </si>
  <si>
    <t>Koosa rahvamaja</t>
  </si>
  <si>
    <t>https://www.facebook.com/koosarahvamaja/</t>
  </si>
  <si>
    <t>5886 8266</t>
  </si>
  <si>
    <t>koosa.noorteklubi@gmail.com</t>
  </si>
  <si>
    <t>Merlin Sooaru</t>
  </si>
  <si>
    <t>Koosa 9, Peipsiääre vald, Tartumaa 60432</t>
  </si>
  <si>
    <t>5,8x3,5</t>
  </si>
  <si>
    <t>350 x 250</t>
  </si>
  <si>
    <t>3x50A</t>
  </si>
  <si>
    <t>Interneti püsiühendus, WiFi</t>
  </si>
  <si>
    <t>20 kohta parklas</t>
  </si>
  <si>
    <t>Lõkkease, paigaldatavad istmed, statsionaarne vabaõhulava</t>
  </si>
  <si>
    <t>Pala kultuurimaja</t>
  </si>
  <si>
    <t>https://www.facebook.com/Pala-Kultuurimaja-257244520972927/</t>
  </si>
  <si>
    <t>773 4689; 525 8797</t>
  </si>
  <si>
    <t>margit.soieva@pala.ee</t>
  </si>
  <si>
    <t>Margit Soieva</t>
  </si>
  <si>
    <t>Pala küla, Peipsiääre vald, Tartumaa 49426</t>
  </si>
  <si>
    <t>6x7</t>
  </si>
  <si>
    <t>600x250</t>
  </si>
  <si>
    <t>Kunstiteoste seinale riputamisvõimalus. Võimalus olemas ka raamatukogus.</t>
  </si>
  <si>
    <t>30 kohta parklas</t>
  </si>
  <si>
    <t>Lipuvarras, paigaldatavad istmed, statsionaarne vabaõhulava, statsionaarsed välikemmergud, tantsuplatsiolemasolu, välivalgustus</t>
  </si>
  <si>
    <t>Ranna rahvamaja</t>
  </si>
  <si>
    <t>https://www.facebook.com/rannarahvamaja/</t>
  </si>
  <si>
    <t>773 4500; 5623 9091</t>
  </si>
  <si>
    <t>ljubov.raimla@pala.ee</t>
  </si>
  <si>
    <t>Ljubov Raimla</t>
  </si>
  <si>
    <t>Lümati küla, Peipsiääre vald, Tartumaa 49425</t>
  </si>
  <si>
    <t>8,7x5,5</t>
  </si>
  <si>
    <t>Puuduvad</t>
  </si>
  <si>
    <t>Rahvamajas puudub, aga võimalus vallamajas.</t>
  </si>
  <si>
    <t xml:space="preserve">Interneti püsiühendus </t>
  </si>
  <si>
    <t>Puudub</t>
  </si>
  <si>
    <t>Vara kogukonnakeskus</t>
  </si>
  <si>
    <t>Sündmuskeskus</t>
  </si>
  <si>
    <t>http://varasport.eu/kultuur/</t>
  </si>
  <si>
    <t>5883 7087</t>
  </si>
  <si>
    <t>vara.kultuur@gmail.com</t>
  </si>
  <si>
    <t>Paula Palmiste</t>
  </si>
  <si>
    <t>Vara küla, Peipsiääre vald, Tartumaa 60426</t>
  </si>
  <si>
    <t>6,1x4</t>
  </si>
  <si>
    <t>600x400</t>
  </si>
  <si>
    <t>250A</t>
  </si>
  <si>
    <t>Interneti püsiühendus</t>
  </si>
  <si>
    <t>Liivi muuseum</t>
  </si>
  <si>
    <t>Muuseum</t>
  </si>
  <si>
    <t>https://muusa.ee/</t>
  </si>
  <si>
    <t>745 3846</t>
  </si>
  <si>
    <t>info@muusa.ee</t>
  </si>
  <si>
    <t>Mari Niitra</t>
  </si>
  <si>
    <t>Rupsi küla, Peipsiääre vald, Tartumaa 60223</t>
  </si>
  <si>
    <t>Kolkja Vanausuliste muuseum</t>
  </si>
  <si>
    <t>https://vanausulised.weebly.com/</t>
  </si>
  <si>
    <t>5662 3980</t>
  </si>
  <si>
    <t>lillitarakanov@gmail.com</t>
  </si>
  <si>
    <t>Lilli Tarakanov</t>
  </si>
  <si>
    <t>Kolkja, Peipsiääre vald, Tartumaa 60301</t>
  </si>
  <si>
    <t>Kallaste Vanausuliste muuseum</t>
  </si>
  <si>
    <t>arina666@yandex.ru</t>
  </si>
  <si>
    <t>Irina Volossova</t>
  </si>
  <si>
    <t>Keskväljak 2, Kallaste linn, Peipsiääre vald, Tartumaa</t>
  </si>
  <si>
    <t>Eduard Tubina muuseum</t>
  </si>
  <si>
    <t>https://www.alatskiviloss.ee/tubinamuuseum</t>
  </si>
  <si>
    <t>5354 1436</t>
  </si>
  <si>
    <t>Margit Kilter</t>
  </si>
  <si>
    <t>Lossi 10, Alatskivi alevik, Peipsiääre vald, Tartumaa</t>
  </si>
  <si>
    <t>Koosa raamatukogu - Peipsiääre valla keskraamatukogu</t>
  </si>
  <si>
    <t>Raamatukogu</t>
  </si>
  <si>
    <t>https://koosaraamatukogu.ee/</t>
  </si>
  <si>
    <t>526 8065</t>
  </si>
  <si>
    <t>keskraamatukogu@peipsivald.ee, koosa.raamatukogu@peipsivald.ee</t>
  </si>
  <si>
    <t>Sirje Leini ja Berit Petolai</t>
  </si>
  <si>
    <t>Lasteaia, Koosa küla, Peipsiääre vald, Tartumaa 60432</t>
  </si>
  <si>
    <t>Alatskivi raamatukogu</t>
  </si>
  <si>
    <t>https://koosaraamatukogu.ee/harukogud/alatskivi-raamatukogu/</t>
  </si>
  <si>
    <t>5305 4441</t>
  </si>
  <si>
    <t>alatskivi.raamatukogu@peipsivald.ee</t>
  </si>
  <si>
    <t>Aili Annast ja Anne Toome</t>
  </si>
  <si>
    <t>Tartu mnt 19, Alatskivi alevik, Peipsiääre vald, Tartumaa 60201</t>
  </si>
  <si>
    <t>Kallaste raamatukogu</t>
  </si>
  <si>
    <t>https://koosaraamatukogu.ee/kallaste-raamatukogu/</t>
  </si>
  <si>
    <t>5300 1774</t>
  </si>
  <si>
    <t>kallaste.raamatukogu@peipsivald.ee</t>
  </si>
  <si>
    <t>Anna Krivoglazova ja Liidia Opikova</t>
  </si>
  <si>
    <t>Sõpruse tn 4, Kallaste linn, Peipsiääre vald, Tartumaa 60104</t>
  </si>
  <si>
    <t>Kolkja raamatukogu</t>
  </si>
  <si>
    <t>https://koosaraamatukogu.ee/kolkja-raamatukogu/</t>
  </si>
  <si>
    <t>5356 0195</t>
  </si>
  <si>
    <t>kolkja.raamatukogu@peipsivald.ee</t>
  </si>
  <si>
    <t>Marika Kaja</t>
  </si>
  <si>
    <t>Suur tee 46, Kolkja alevik, Peipsiääre vald, Tartumaa 60301</t>
  </si>
  <si>
    <t>Lümati raamatukogu</t>
  </si>
  <si>
    <t>https://koosaraamatukogu.ee/lumati-raamatukogu/</t>
  </si>
  <si>
    <t>773 4625</t>
  </si>
  <si>
    <t>lumati.raamatukogu@peipsivald.ee</t>
  </si>
  <si>
    <t>Moonika Metsma</t>
  </si>
  <si>
    <t>Pala raamatukogu</t>
  </si>
  <si>
    <t>https://koosaraamatukogu.ee/pala-raamatukogu/</t>
  </si>
  <si>
    <t>773 4505</t>
  </si>
  <si>
    <t>pala.raamatukogu@peipsivald.ee</t>
  </si>
  <si>
    <t>Anu Saul</t>
  </si>
  <si>
    <t>Vara raamatukogu</t>
  </si>
  <si>
    <t>https://koosaraamatukogu.ee/vara-raamatukogu/</t>
  </si>
  <si>
    <t>5303 3502</t>
  </si>
  <si>
    <t>vara.raamatukogu@peipsivald.ee</t>
  </si>
  <si>
    <t>Olga Haljaste</t>
  </si>
  <si>
    <t>Varnja raamatukogu</t>
  </si>
  <si>
    <t>https://koosaraamatukogu.ee/varnja-raamatukogu/</t>
  </si>
  <si>
    <t>5275 898</t>
  </si>
  <si>
    <t>varnja.raamatukogu@peipsivald.ee</t>
  </si>
  <si>
    <t>Raissa Poljakova</t>
  </si>
  <si>
    <t>Varnja alevik, Peipsiääre vald, Tartumaa 60305</t>
  </si>
  <si>
    <t>Välgi raamatukogu</t>
  </si>
  <si>
    <t>https://koosaraamatukogu.ee/valgi-raamatukogu/</t>
  </si>
  <si>
    <t>509 4339</t>
  </si>
  <si>
    <t>valgi.raamatukogu@peipsivald.ee</t>
  </si>
  <si>
    <t>Liidia Afanasjeva</t>
  </si>
  <si>
    <t>Välgi küla, Peipsiääre vald, Tartumaa 60427</t>
  </si>
  <si>
    <t>Nina väliteeninduspunkt</t>
  </si>
  <si>
    <t>https://koosaraamatukogu.ee/nina-valisteeninduspunkt/</t>
  </si>
  <si>
    <t>5558 0976</t>
  </si>
  <si>
    <t>nina.laenutuspunkt@peipsivald.ee</t>
  </si>
  <si>
    <t>Marika Helaja</t>
  </si>
  <si>
    <t>Kooli tn 1, Nina küla,Peipsiääre vald, Tartumaa 60212</t>
  </si>
  <si>
    <t>Kokora väliteeninduspunkt</t>
  </si>
  <si>
    <t>https://koosaraamatukogu.ee/kokora-valisteeninduspunkt/</t>
  </si>
  <si>
    <t>730 2378; 5684 5020</t>
  </si>
  <si>
    <t>kokora.laenutuspunkt@peipsivald.ee</t>
  </si>
  <si>
    <t>Inge Rebane</t>
  </si>
  <si>
    <t>Kokora küla, Peipsiääre vald, Tartumaa 60205</t>
  </si>
  <si>
    <t>MTÜ Alatskivi Maanaiste Selts</t>
  </si>
  <si>
    <t>https://www.facebook.com/AlatskiviMNS/</t>
  </si>
  <si>
    <t>5683 5544</t>
  </si>
  <si>
    <t>alatskivinaisselts@gmail.com</t>
  </si>
  <si>
    <t>Aire Järve</t>
  </si>
  <si>
    <t>Kooli 2, Alatskivi alevik, Peipsiääre vald, Tartumaa 60201</t>
  </si>
  <si>
    <t>Assikvere Seltsimaja</t>
  </si>
  <si>
    <t>https://www.ahs.planet.ee/</t>
  </si>
  <si>
    <t xml:space="preserve"> 507 6784</t>
  </si>
  <si>
    <t>hinnovospert2@gmail.com</t>
  </si>
  <si>
    <t>Hinno Vospert</t>
  </si>
  <si>
    <t>Assikvere küla, Peipsiääre vald, Tartumaa 49403</t>
  </si>
  <si>
    <t>230x200</t>
  </si>
  <si>
    <t>31A</t>
  </si>
  <si>
    <t>Lipuvarras, lõkkease, paigaldatavad istmed, paigaldatav vabaõhulava, peoplats ilma lava ja katuseta, piiramisvõimalus, ruumid esinejate jaoks</t>
  </si>
  <si>
    <t>Kokora Külakeskus</t>
  </si>
  <si>
    <t>https://www.facebook.com/Kokora-K%C3%BClakeskus-137887716289130/</t>
  </si>
  <si>
    <t>5684 5020</t>
  </si>
  <si>
    <t>kokora.kylaselts@mail.ee</t>
  </si>
  <si>
    <t>280x180</t>
  </si>
  <si>
    <t>63A</t>
  </si>
  <si>
    <t>Lõkkease, paigaldatavad istmed, piiramisvõimalus</t>
  </si>
  <si>
    <t>Varnja Seltsimaja</t>
  </si>
  <si>
    <t>527 5898</t>
  </si>
  <si>
    <t>olgasol@hot.ee</t>
  </si>
  <si>
    <t>Olga Solovjova</t>
  </si>
  <si>
    <t>Varnja küla, Peipsiääre vald, Tartumaa</t>
  </si>
  <si>
    <t>200x200</t>
  </si>
  <si>
    <t>32A</t>
  </si>
  <si>
    <t>10 kohta parklas</t>
  </si>
  <si>
    <t>Paigaldatavad istmed, ruumid esinejate jaoks, statsionaarne vabaõhulava, tantsuplatsiolemasolu</t>
  </si>
  <si>
    <t>Välgi Külamaja</t>
  </si>
  <si>
    <t>528 1292</t>
  </si>
  <si>
    <t>Maimo Sikk</t>
  </si>
  <si>
    <t>Välgi küla, Peipsiääre vald, Tartumaa</t>
  </si>
  <si>
    <t>Alatskivi kirik</t>
  </si>
  <si>
    <t>Kirik</t>
  </si>
  <si>
    <t>525 4959</t>
  </si>
  <si>
    <t>alatskivi@eelk.ee</t>
  </si>
  <si>
    <t>Raigo Ojamets</t>
  </si>
  <si>
    <t>Tartu mnt 27, Alatskivi alevik, Peipsiääre vald, Tartumaa 60201</t>
  </si>
  <si>
    <t>Nina Jumalaema Kaitsmine kirik</t>
  </si>
  <si>
    <t>http://www.hramy.ee/Nina_Church-of-the-Protection-of-the-Mother-of-God_est.html</t>
  </si>
  <si>
    <t>5550 9060</t>
  </si>
  <si>
    <t>velabrum@yandex.ru</t>
  </si>
  <si>
    <t xml:space="preserve">Nina, Alatskivi vald, Tartumaa 60201 </t>
  </si>
  <si>
    <t>Kodavere kirik</t>
  </si>
  <si>
    <t>kodavere@eelk.ee</t>
  </si>
  <si>
    <t>Kodavere, Peipsiääre vald, Tartu maakond 49407</t>
  </si>
  <si>
    <t>Kallaste Vanausuliste palvemaja</t>
  </si>
  <si>
    <t>5562 2829</t>
  </si>
  <si>
    <t>pavel@starover.ee</t>
  </si>
  <si>
    <t>Pavel Varunin</t>
  </si>
  <si>
    <t>Kiriku 14, Kallaste linn, Peipsiääre vald, Tartumaa 60103</t>
  </si>
  <si>
    <t>Kasepää Vanausuliste palvemaja</t>
  </si>
  <si>
    <t>5395 3701</t>
  </si>
  <si>
    <t>Kasepää alevik, Peipsiääre vald, Tartumaa</t>
  </si>
  <si>
    <t>Väike Koljaku vanausuliste palvemaja</t>
  </si>
  <si>
    <t>745 3487</t>
  </si>
  <si>
    <t>Kolkja alevik, Peipsiääre vald, Tartumaa 60306</t>
  </si>
  <si>
    <t>EVKL Suur-Kolkja vanausuliste palvemaja</t>
  </si>
  <si>
    <t>504 9908</t>
  </si>
  <si>
    <t>EVKL Varnja vanausuliste palvemaja</t>
  </si>
  <si>
    <t>745 2911</t>
  </si>
  <si>
    <t>Kesk tänav 70, Varnja alevik, Peipsiääre vald, Tartumaa</t>
  </si>
  <si>
    <t>Vara Brigitta kirik</t>
  </si>
  <si>
    <t>5912 3923</t>
  </si>
  <si>
    <t>vara@eelk.ee</t>
  </si>
  <si>
    <t xml:space="preserve">Aare Vilu </t>
  </si>
  <si>
    <t>Matjama, Peipsiääre vald, Tartumaa 60431</t>
  </si>
  <si>
    <t>Välgi Püha Aleksander Nevski kirik</t>
  </si>
  <si>
    <t>5333 2130</t>
  </si>
  <si>
    <t>toomas@eoc.ee</t>
  </si>
  <si>
    <t>Toomas Erikson</t>
  </si>
  <si>
    <t>Alatskivi keskkooli staadion</t>
  </si>
  <si>
    <t>Staadion</t>
  </si>
  <si>
    <t>kool@alatskivi.edu.ee</t>
  </si>
  <si>
    <t>Kooli tn 1a, Alatskivi alevik, Peipsiääre vald, Tartu maakond</t>
  </si>
  <si>
    <t>Anna Haava nimeline Pala Kooli staadion</t>
  </si>
  <si>
    <t>7 734 641, 5828 1217</t>
  </si>
  <si>
    <t>Koolimaja, Pala küla, Peipsiääre vald, Tartu maakond</t>
  </si>
  <si>
    <t>Interneti püsiühendus ja Wifi</t>
  </si>
  <si>
    <t>Vara põhikooli staation</t>
  </si>
  <si>
    <t>sport.vara@gmail.com</t>
  </si>
  <si>
    <t>Vara koolimaja, Vara küla, Peipsiääre vald, Tartu maakond</t>
  </si>
  <si>
    <t>Interneti püsiühendus ja WiFi</t>
  </si>
  <si>
    <t>Alatskivi noortekeskus</t>
  </si>
  <si>
    <t>Noortekeskus</t>
  </si>
  <si>
    <t>https://alatskivinoored.webs.com/</t>
  </si>
  <si>
    <t>505 0859</t>
  </si>
  <si>
    <t>alatskivinoortekeskus@gmail.com</t>
  </si>
  <si>
    <t>Kristin Elken</t>
  </si>
  <si>
    <t>Lasteaia tn 6, Alatskivi alevik, Peipsiääre vald, Tartumaa 60201</t>
  </si>
  <si>
    <t>Kallaste noortekeskus</t>
  </si>
  <si>
    <t>https://www.facebook.com/KallasteNoortekeskus</t>
  </si>
  <si>
    <t>5890 6170</t>
  </si>
  <si>
    <t>drozdovakristina01@gmail.com</t>
  </si>
  <si>
    <t>Kristina Drozdova</t>
  </si>
  <si>
    <t>Pala valla noored</t>
  </si>
  <si>
    <t>http://www.pvn.ee/</t>
  </si>
  <si>
    <t>5332 7065</t>
  </si>
  <si>
    <t>info@pvn.ee</t>
  </si>
  <si>
    <t>Katrin Riibak</t>
  </si>
  <si>
    <t>Vara noortekeskus</t>
  </si>
  <si>
    <t>http://varasport.eu/vara-noortekeskus/</t>
  </si>
  <si>
    <t>5306 4665</t>
  </si>
  <si>
    <t>vara.noortekeskus@gmail.com</t>
  </si>
  <si>
    <t>Karin Klemmer</t>
  </si>
  <si>
    <t>Koosa noorteklubi</t>
  </si>
  <si>
    <t>https://www.facebook.com/koosanoortekeskus/</t>
  </si>
  <si>
    <t>Koosa küla, Peipsiääre vald, Tartumaa 60432</t>
  </si>
  <si>
    <t>Peipsiääre avatud noortekekus</t>
  </si>
  <si>
    <t>https://www.facebook.com/peipsiaare.noortekeskus.5</t>
  </si>
  <si>
    <t>marina.peipsiaare@gmail.com</t>
  </si>
  <si>
    <t>Tartumaa, Peipsiääre vald, Kolkja 60301</t>
  </si>
  <si>
    <t>Alatskivi Loss</t>
  </si>
  <si>
    <t>https://www.alatskiviloss.ee/</t>
  </si>
  <si>
    <t>info@alatskiviloss.ee</t>
  </si>
  <si>
    <t>Laura Lillepalu-Scott</t>
  </si>
  <si>
    <t>Lossi tn 1, Alatskivi alevik, 60201, Peipsiääre vald, Tartumaa</t>
  </si>
  <si>
    <t>7x2</t>
  </si>
  <si>
    <t>400x400</t>
  </si>
  <si>
    <t>200A</t>
  </si>
  <si>
    <t>200 kohta parklas</t>
  </si>
  <si>
    <t>Paigaldatavad istmed, paigaldatav vabaõhulava, peoplats ilma lava ja katuseta, ruumid esinejate jaoks, välivalgustus</t>
  </si>
  <si>
    <t>Luunja kultuuri- ja vabaajakeskus</t>
  </si>
  <si>
    <t>Luunja vald</t>
  </si>
  <si>
    <t>https://luunjakultuur.ee/</t>
  </si>
  <si>
    <t>5309 3670</t>
  </si>
  <si>
    <t>kadi.kalmus@luunja.ee</t>
  </si>
  <si>
    <t>Kadi Kalmus</t>
  </si>
  <si>
    <t>Aedniku 2, Luunja alevik, Luunja vald, Tartu maakond, 62222</t>
  </si>
  <si>
    <t>7,4x6,1</t>
  </si>
  <si>
    <t>600x500</t>
  </si>
  <si>
    <t>Luunja noortekeskus</t>
  </si>
  <si>
    <t>https://luunjakultuur.ee/luunja-noortekeskus-2/</t>
  </si>
  <si>
    <t>Lohkva noortekeskus</t>
  </si>
  <si>
    <t>Lohkva küla, Luunja vald, Tartu maakond, 62207</t>
  </si>
  <si>
    <t>Kavastu keskus</t>
  </si>
  <si>
    <t>Kavastu keskus 6, Kavastu küla, Luunja vald, Tartumaa</t>
  </si>
  <si>
    <t>Lohkva raamatukogu</t>
  </si>
  <si>
    <t>https://www.facebook.com/lohkva.raamatukogu</t>
  </si>
  <si>
    <t>748 8818</t>
  </si>
  <si>
    <t>lohkva.raamatukogu@luunja.ee</t>
  </si>
  <si>
    <t>Lea Tali, Ester Seerman</t>
  </si>
  <si>
    <t>Kollu tee 7, Lohkva küla, Luunja vald, 62207, Tartumaa</t>
  </si>
  <si>
    <t>Luunja raamatukogu</t>
  </si>
  <si>
    <t>5300 7224</t>
  </si>
  <si>
    <t>luunja.raamatukogu@luunja.ee</t>
  </si>
  <si>
    <t>Riina Belov</t>
  </si>
  <si>
    <t>Aedniku 2, Luunja alevik, Luunja vald, 62222, Tartumaa</t>
  </si>
  <si>
    <t>Kavastu raamatukogu</t>
  </si>
  <si>
    <t>741 3236</t>
  </si>
  <si>
    <t>kavastu.raamatukogu@luunja.ee</t>
  </si>
  <si>
    <t>Ille Edenberg</t>
  </si>
  <si>
    <t>Kavastu 5-7, Kavastu, Luunja vald, 62204, Tartumaa</t>
  </si>
  <si>
    <t>Luunja laululava</t>
  </si>
  <si>
    <t>Vabaõhulava</t>
  </si>
  <si>
    <t>Puiestee 8, Luunja, 62222 Tartu maakond</t>
  </si>
  <si>
    <t>Järvselja raamatukogu</t>
  </si>
  <si>
    <t>Kastre vald</t>
  </si>
  <si>
    <t>741 1319</t>
  </si>
  <si>
    <t>jarvselja.raamatukogu@kastre.ee</t>
  </si>
  <si>
    <t>Ene Runtel</t>
  </si>
  <si>
    <t>Järvselja, Kastre vald, Tartumaa</t>
  </si>
  <si>
    <t>Melliste raamatukogu</t>
  </si>
  <si>
    <t>741 1594, 52 28 703</t>
  </si>
  <si>
    <t>melliste.raamatukogu@kastre.ee</t>
  </si>
  <si>
    <t>Ülle Seire</t>
  </si>
  <si>
    <t>Tartu mnt 8, Melliste, Kastre vald, Tartumaa</t>
  </si>
  <si>
    <t>Roiu raamatukogu</t>
  </si>
  <si>
    <t>50 60 964</t>
  </si>
  <si>
    <t>roiu.raamatukogu@kastre.ee</t>
  </si>
  <si>
    <t>Elle Kruus</t>
  </si>
  <si>
    <t>Oja 6, Roiu, Kastre vald, Tartumaa</t>
  </si>
  <si>
    <t>Võnnu raamatukogu</t>
  </si>
  <si>
    <t>749 2471</t>
  </si>
  <si>
    <t>vonnu.raamatukogu@kastre.ee</t>
  </si>
  <si>
    <t>Riina Gordejeva</t>
  </si>
  <si>
    <t>Tartu tn 24, Võnnu alevik, Kastre vald, Tartumaa</t>
  </si>
  <si>
    <t>Võõpste raamatukogu</t>
  </si>
  <si>
    <t>741 1584, 551 7050</t>
  </si>
  <si>
    <t>voopste.raamatukogu@kastre.ee</t>
  </si>
  <si>
    <t>Tiina Arike</t>
  </si>
  <si>
    <t>Võõpste, Kastre vald, Tartumaa</t>
  </si>
  <si>
    <t>Priiuse seltsimaja</t>
  </si>
  <si>
    <t>50 893 74</t>
  </si>
  <si>
    <t>kathi.koch@kastre.ee</t>
  </si>
  <si>
    <t>Kathi Koch</t>
  </si>
  <si>
    <t>Võnnu kultuurimaja</t>
  </si>
  <si>
    <t>58552993, 508 9717</t>
  </si>
  <si>
    <t>rauno.karro@kastre.ee, tiia.kerge@kastre.ee</t>
  </si>
  <si>
    <t>Rauno Karro, Tiia Kerge</t>
  </si>
  <si>
    <t>Melliste noortekeskus</t>
  </si>
  <si>
    <t>5887 9699</t>
  </si>
  <si>
    <t>kirsika.muhlberg@kastre.ee</t>
  </si>
  <si>
    <t>Kirsika Mühlberg</t>
  </si>
  <si>
    <t>Tartu mnt 8, Melliste küla, Kastre vald</t>
  </si>
  <si>
    <t>Roiu noortekeskus</t>
  </si>
  <si>
    <t>5887 9260</t>
  </si>
  <si>
    <t>roiu.noortekeskus@kastre.ee</t>
  </si>
  <si>
    <t>Merili Tomikas</t>
  </si>
  <si>
    <t>Männi tn 3-26, Roiu, Kastre vald</t>
  </si>
  <si>
    <t>Võnnu noortekeskus</t>
  </si>
  <si>
    <t>5887 9311</t>
  </si>
  <si>
    <t>vonnu.noortekeskus@kastre.ee</t>
  </si>
  <si>
    <t>Tartu tn 24, Võnnu, Kastre vald</t>
  </si>
  <si>
    <t>Võnnu Jakobi kirik</t>
  </si>
  <si>
    <t>749 2322, 529 3100</t>
  </si>
  <si>
    <t>vonnu@eelk.ee</t>
  </si>
  <si>
    <t>Urmas Paju</t>
  </si>
  <si>
    <t>Tartu tn 10, 62401 Kastre vald, Tartumaa</t>
  </si>
  <si>
    <t xml:space="preserve">Sillaotsa spordihoone </t>
  </si>
  <si>
    <t>Spordikeskus</t>
  </si>
  <si>
    <t>https://www.kastre.ee/sillaotsa-spordihoone</t>
  </si>
  <si>
    <t>riina.vals@kastre.ee</t>
  </si>
  <si>
    <t>Riina Vals</t>
  </si>
  <si>
    <t>62119 Tartumaa, Kastre vald, Päkste küla, Sillaotsa.</t>
  </si>
  <si>
    <t>Melliste spordihoone</t>
  </si>
  <si>
    <t>https://melliste.ee/lahtiolekuajad</t>
  </si>
  <si>
    <t>520 2295</t>
  </si>
  <si>
    <t>sport@melliste.ee</t>
  </si>
  <si>
    <t>Aabitsa tee 1a, Melliste küla, Kastre vald, Tartu maakond.</t>
  </si>
  <si>
    <t>Ülenurme muusikakool</t>
  </si>
  <si>
    <t>Kambja vald</t>
  </si>
  <si>
    <t>Muusikakool</t>
  </si>
  <si>
    <t>http://www.ymk.ee</t>
  </si>
  <si>
    <t>372 750 2635</t>
  </si>
  <si>
    <t>ylle.andreson@ymk.ee</t>
  </si>
  <si>
    <t>Ülle Andreson</t>
  </si>
  <si>
    <t>Tartu mnt 5, Ülenurme alevik, Kambja vald, 61714 Tartumaa</t>
  </si>
  <si>
    <t>Ülenurme Gümnaasiumi Spordihoone</t>
  </si>
  <si>
    <t>https://www.yle.edu.ee/sport/</t>
  </si>
  <si>
    <t>372 750 2620</t>
  </si>
  <si>
    <t>kaspar.koolman@yle.edu.ee</t>
  </si>
  <si>
    <t>Kaspar Koolman</t>
  </si>
  <si>
    <t>Tartu mnt. 5, Ülenurme alevik, Kambja vald, Tartumaa 61714</t>
  </si>
  <si>
    <t>olemas</t>
  </si>
  <si>
    <t>jah</t>
  </si>
  <si>
    <t>parkla</t>
  </si>
  <si>
    <t>staadion</t>
  </si>
  <si>
    <t>Ülenurme Gümnaasiumi Spordihoone staadion</t>
  </si>
  <si>
    <t>Kambja pere- ja noortekeskus</t>
  </si>
  <si>
    <t>http://onnemaa.ee/kambja-pere-ja-noortekeskus/</t>
  </si>
  <si>
    <t>372 5357 7796</t>
  </si>
  <si>
    <t>kelli@onnemaa.ee</t>
  </si>
  <si>
    <t>Kelli Rääbis</t>
  </si>
  <si>
    <t>Kesk 8, Kambja alevik, Kambja vald, 62034 Tartumaa</t>
  </si>
  <si>
    <t>Ülenurme pere- ja noortekeskus</t>
  </si>
  <si>
    <t>https://onnemaa.ee/ulenurme-pere-ja-noortekeskus/</t>
  </si>
  <si>
    <t>372 5331 5342,</t>
  </si>
  <si>
    <t>kersti@onnemaa.ee</t>
  </si>
  <si>
    <t>Kersti Leis</t>
  </si>
  <si>
    <t>Pargi 7, Ülenurme alevik, Kambja vald, 61714 Tartumaa</t>
  </si>
  <si>
    <t>Tõrvandi pere- ja noortekeskus</t>
  </si>
  <si>
    <t>http://onnemaa.ee/torvandi-pere-ja-noortekeskus/</t>
  </si>
  <si>
    <t>372 5466 5798</t>
  </si>
  <si>
    <t>jaanika@onnemaa.ee</t>
  </si>
  <si>
    <t>Jaanika Oolo</t>
  </si>
  <si>
    <t>Ringtee 1a, Tõrvandi alevik, Kambja vald, 61715 Tartumaa</t>
  </si>
  <si>
    <t>Kambja kultuuurikeskus</t>
  </si>
  <si>
    <t>https://www.kambja.ee/rahva-ja-seltsimajad</t>
  </si>
  <si>
    <t>372 5309 9523</t>
  </si>
  <si>
    <t>saidi.tammeorg@gmail.com</t>
  </si>
  <si>
    <t>Saidi Tammeorg</t>
  </si>
  <si>
    <t>Kesk 12, Kambja alevik, Kambja vald, 62034 Tartumaa</t>
  </si>
  <si>
    <t>üle 300 koha</t>
  </si>
  <si>
    <t>statsionaarne</t>
  </si>
  <si>
    <t>pimendamisvõimalus, statsionaarne lava, teisaldatavad istmed</t>
  </si>
  <si>
    <t>olemas, 60 kohta</t>
  </si>
  <si>
    <t>Vana-Kuuste seltsimaja</t>
  </si>
  <si>
    <t>372 5383 9300</t>
  </si>
  <si>
    <t>edda@kuuste.edu.ee</t>
  </si>
  <si>
    <t>puudub</t>
  </si>
  <si>
    <t>Kooli tee, Vana-Kuuste küla, Kambja vald, 62033 Tartumaa</t>
  </si>
  <si>
    <t>Reola kultuurimaja</t>
  </si>
  <si>
    <t>372 5828 2032, 72 741 2257</t>
  </si>
  <si>
    <t>kultuur@ylenurme.ee</t>
  </si>
  <si>
    <t>Peep Puis</t>
  </si>
  <si>
    <t>Valge tee 1, Reola küla, Kambja vald, 61712 Tartumaa</t>
  </si>
  <si>
    <t>Tõrvandi raamatukogu</t>
  </si>
  <si>
    <t>https://tõrvandiraamatukogu.weebly.com/</t>
  </si>
  <si>
    <t>735 0373</t>
  </si>
  <si>
    <t>raamatukogu@torvandi.ee</t>
  </si>
  <si>
    <t>Katre Ilmjärv</t>
  </si>
  <si>
    <t>Ringtee 1, Tõrvandi alevik, Kambja vald, 61715 Tartumaa</t>
  </si>
  <si>
    <t>wifi</t>
  </si>
  <si>
    <t>Kambja raamatukogu</t>
  </si>
  <si>
    <t>https://xn--trvandiraamatukogu-t2b.weebly.com/haruraamatukogud.html</t>
  </si>
  <si>
    <t>741 6447</t>
  </si>
  <si>
    <t>raamatukogu@kambja.ee</t>
  </si>
  <si>
    <t>Kesk 12, Kambja alevik, 62034 Tartumaa</t>
  </si>
  <si>
    <t>Kuuste raamatukogu</t>
  </si>
  <si>
    <t>741 8145</t>
  </si>
  <si>
    <t>raamatukogu@kuuste.edu.ee</t>
  </si>
  <si>
    <t>Külitse raamatukogu</t>
  </si>
  <si>
    <t>735 2009</t>
  </si>
  <si>
    <t>kulitse.raamatukogu@mail.ee</t>
  </si>
  <si>
    <t>Järve tee 1-2, Külitse alevik, Kambja vald, Tartu maakond, 61702</t>
  </si>
  <si>
    <t>Ülenurme raamatukog</t>
  </si>
  <si>
    <t>https://ylenurmeraamatukogu.blogspot.com/</t>
  </si>
  <si>
    <t>750 2655</t>
  </si>
  <si>
    <t>kersti@ylenurme.ee</t>
  </si>
  <si>
    <t>Kambja spordihoone</t>
  </si>
  <si>
    <t>https://www.kambja.ee/spordirajatised1/-/asset_publisher/nul5rLHLtFRB/content/kambja-spordihoone?redirect=https%3A%2F%2Fwww.kambja.ee%2Fspordirajatised1%3Fp_p_id%3D101_INSTANCE_nul5rLHLtFRB%26p_p_lifecycle%3D0%26p_p_state%3Dnormal%26p_p_mode%3Dview%26p_p_col_id%3Dcolumn-1%26p_p_col_count%3D2</t>
  </si>
  <si>
    <t>5397 2794</t>
  </si>
  <si>
    <t>sph@kambja.ee</t>
  </si>
  <si>
    <t>Rauno Kiuru</t>
  </si>
  <si>
    <t>Võru mnt 4a, Kambja alevik, Kambja vald, 62034 Tartumaa</t>
  </si>
  <si>
    <t>Kambja staadion</t>
  </si>
  <si>
    <t>https://www.kambja.ee/spordirajatised1?p_p_auth=Wc8qCRqh&amp;p_p_id=101&amp;p_p_lifecycle=0&amp;p_p_state=maximized&amp;p_p_col_id=column-1&amp;p_p_col_count=2&amp;_101_struts_action=%2Fasset_publisher%2Fview_content&amp;_101_assetEntryId=15344477&amp;_101_type=content&amp;_101_urlTitle=kambja-staadion&amp;redirect=%2Fspordirajatised1%2F-%2Fasset_publisher%2Fnul5rLHLtFRB%2Fcontent%2Fkambja-spordihoone%3Fredirect%3Dhttps%253A%252F%252Fwww.kambja.ee%252Fspordirajatised1%253Fp_p_id%253D101_INSTANCE_nul5rLHLtFRB%2526p_p_lifecycle%253D0%2526p_p_state%253Dnormal%2526p_p_mode%253Dview%2526p_p_col_id%253Dcolumn-1%2526p_p_col_count%253D2</t>
  </si>
  <si>
    <t>Kesk 12, Kambja alevik, Kambja vald, Tartumaa</t>
  </si>
  <si>
    <t>Kammeri kooli spordihoone</t>
  </si>
  <si>
    <t>https://www.kambja.ee/spordirajatised1/-/asset_publisher/nul5rLHLtFRB/content/kammeri-kooli-spordihoone-ja-staadion?redirect=https%3A%2F%2Fwww.kambja.ee%2Fspordirajatised1%3Fp_p_id%3D101_INSTANCE_nul5rLHLtFRB%26p_p_lifecycle%3D0%26p_p_state%3Dnormal%26p_p_mode%3Dview%26p_p_col_id%3Dcolumn-1%26p_p_col_count%3D2</t>
  </si>
  <si>
    <t>5821 7100</t>
  </si>
  <si>
    <t>kairi.kolk@kammerikool.ee</t>
  </si>
  <si>
    <t>Kairi Kolk</t>
  </si>
  <si>
    <t>Kammeri küla, Kambja vald, Tartumaa</t>
  </si>
  <si>
    <t>Kammeri kooli staadion</t>
  </si>
  <si>
    <t>Tõrvandi spordihoone</t>
  </si>
  <si>
    <t>https://www.kambja.ee/spordirajatised1/-/asset_publisher/nul5rLHLtFRB/content/torvandi-spordihoone-ja-staadion?redirect=https%3A%2F%2Fwww.kambja.ee%2Fspordirajatised1%3Fp_p_id%3D101_INSTANCE_nul5rLHLtFRB%26p_p_lifecycle%3D0%26p_p_state%3Dnormal%26p_p_mode%3Dview%26p_p_col_id%3Dcolumn-1%26p_p_col_count%3D2</t>
  </si>
  <si>
    <t>5565 9324</t>
  </si>
  <si>
    <t>Heiki Sarapuu</t>
  </si>
  <si>
    <t>Ringtee 1a, Tõrvandi alevik, Kambja vald</t>
  </si>
  <si>
    <t>Haridusselts Tõrvik</t>
  </si>
  <si>
    <t>521 3971</t>
  </si>
  <si>
    <t>eha.jakobson@gmail.com</t>
  </si>
  <si>
    <t>Eha Jakobson</t>
  </si>
  <si>
    <t>Pangodi</t>
  </si>
  <si>
    <t>Kambja kirik</t>
  </si>
  <si>
    <t>https://kambja.eelk.ee/web/</t>
  </si>
  <si>
    <t>50 45 352</t>
  </si>
  <si>
    <t>kambja@eelk.ee</t>
  </si>
  <si>
    <t>Andrus Mõttus</t>
  </si>
  <si>
    <t>Kiriku tee 1, 62034 Kambja, Tartumaa</t>
  </si>
  <si>
    <t>Lutsu Teatrimaja Teatri Kodu (Mänguasjamuuseum)</t>
  </si>
  <si>
    <t>Tartu linn</t>
  </si>
  <si>
    <t>Teater</t>
  </si>
  <si>
    <r>
      <rPr>
        <rFont val="Times New Roman"/>
        <color rgb="FF1155CC"/>
        <sz val="10.0"/>
      </rPr>
      <t>www.mm.ee</t>
    </r>
    <r>
      <rPr>
        <rFont val="Times New Roman"/>
        <color rgb="FF1155CC"/>
        <sz val="10.0"/>
      </rPr>
      <t xml:space="preserve"> </t>
    </r>
  </si>
  <si>
    <t>teatri.kodu@mm.ee</t>
  </si>
  <si>
    <t>Mare Varendi</t>
  </si>
  <si>
    <t>Lutsu 2, 51005</t>
  </si>
  <si>
    <t xml:space="preserve">6x5m </t>
  </si>
  <si>
    <t>Seintele riputamisvõimalus</t>
  </si>
  <si>
    <t>Tänaval</t>
  </si>
  <si>
    <t>Sadamateater</t>
  </si>
  <si>
    <t>www.vanemuine.ee/teatrimajad/sadamateater/</t>
  </si>
  <si>
    <t>7344 247</t>
  </si>
  <si>
    <t>erik.makarov@vanemuine.ee</t>
  </si>
  <si>
    <t>Erik Makarov</t>
  </si>
  <si>
    <t>Soola 5b, 51013</t>
  </si>
  <si>
    <t>14,5x17m</t>
  </si>
  <si>
    <t>OIemas</t>
  </si>
  <si>
    <t>Ligiduses parklad</t>
  </si>
  <si>
    <t>Tartu Uus Teater</t>
  </si>
  <si>
    <t>www.uusteater.ee</t>
  </si>
  <si>
    <t xml:space="preserve">tere@uusteater.ee </t>
  </si>
  <si>
    <t>Maarja Mänd</t>
  </si>
  <si>
    <t>Lai 37, 51005</t>
  </si>
  <si>
    <t>300+</t>
  </si>
  <si>
    <t>10x10m</t>
  </si>
  <si>
    <t>80A</t>
  </si>
  <si>
    <t xml:space="preserve">Tänaval </t>
  </si>
  <si>
    <t>Terass</t>
  </si>
  <si>
    <t>Vanemuine Suur maja</t>
  </si>
  <si>
    <t>www.vanemuine.ee/teatrimajad/vanemuise-suur-maja/</t>
  </si>
  <si>
    <t>Vanemuise 6, 51003</t>
  </si>
  <si>
    <t>1000+</t>
  </si>
  <si>
    <t>Teine</t>
  </si>
  <si>
    <t>266m2</t>
  </si>
  <si>
    <t>Galeriivalgustus</t>
  </si>
  <si>
    <t>Parklad</t>
  </si>
  <si>
    <t>Karlova Teater</t>
  </si>
  <si>
    <t>www.karlovateater.ee</t>
  </si>
  <si>
    <t>ruta@suveteater.ee</t>
  </si>
  <si>
    <t>Ruta Rannu</t>
  </si>
  <si>
    <t>Tähe 66, 50107</t>
  </si>
  <si>
    <t xml:space="preserve">3,5x8m </t>
  </si>
  <si>
    <t>Vanemuine Väike maja</t>
  </si>
  <si>
    <t>www.vanemuine.ee/teatrimajad/vanemuise-vaike-maja/</t>
  </si>
  <si>
    <t>Vanemuise 45a, 51003</t>
  </si>
  <si>
    <t>600+</t>
  </si>
  <si>
    <t>146m2</t>
  </si>
  <si>
    <t>Heino Elleri nimeline Tartu Muusikakool</t>
  </si>
  <si>
    <t>www.tmk.ee</t>
  </si>
  <si>
    <t>peeter.illak@tmk.ee</t>
  </si>
  <si>
    <t>Peeter Illak</t>
  </si>
  <si>
    <t>Lossi 15, 51003</t>
  </si>
  <si>
    <t>20x8m</t>
  </si>
  <si>
    <t>Tartu II Muusikakool</t>
  </si>
  <si>
    <t>www.tmk2.tartu.ee</t>
  </si>
  <si>
    <t>tmuusikakool@gmail.com</t>
  </si>
  <si>
    <t>Aare Zeiger</t>
  </si>
  <si>
    <t>Kaunase pst 23, 50706</t>
  </si>
  <si>
    <t>100+</t>
  </si>
  <si>
    <t>19. sajandi Tartu linnakodaniku muuseum (Tartu Linnamuuseumi filiaal)</t>
  </si>
  <si>
    <t>www.muuseum.tartu.ee/19-sajandi-linnakodaniku-muuseum/</t>
  </si>
  <si>
    <t>linnakodanik@muuseum.tartu.ee</t>
  </si>
  <si>
    <t xml:space="preserve">Kristi Musteikis </t>
  </si>
  <si>
    <t xml:space="preserve">Jaani 16, 51005 </t>
  </si>
  <si>
    <t>2x2m</t>
  </si>
  <si>
    <t>Sisehoov</t>
  </si>
  <si>
    <t>A Le Coq Tartu Õllemuuseum (eramuuseum)</t>
  </si>
  <si>
    <t>https://www.alecoq.ee/ollemuuseum/muuseum/</t>
  </si>
  <si>
    <t>744 9713</t>
  </si>
  <si>
    <t>muuseum@alecoq.ee</t>
  </si>
  <si>
    <t>Mart Haldma</t>
  </si>
  <si>
    <t>Laulupeo pst 15, 50050</t>
  </si>
  <si>
    <t>Parklas</t>
  </si>
  <si>
    <t>AHHAA Teaduskeskus</t>
  </si>
  <si>
    <t>Elamuskeskus</t>
  </si>
  <si>
    <t>www.ahhaa.ee</t>
  </si>
  <si>
    <t>tellimus@ahhaa.ee</t>
  </si>
  <si>
    <t>Meelika Peetsmann</t>
  </si>
  <si>
    <t>Sadama 1,51004</t>
  </si>
  <si>
    <t>Olemnas</t>
  </si>
  <si>
    <t>Parkla</t>
  </si>
  <si>
    <t>Tartu Tähetorn (Tartu Ülikooli muuseumi allasutus)</t>
  </si>
  <si>
    <t>www.tahetorn.ut.ee</t>
  </si>
  <si>
    <t>tahetorn@ut.ee</t>
  </si>
  <si>
    <t>Mari-Liis Madisson</t>
  </si>
  <si>
    <t>Uppsala 8, 51003</t>
  </si>
  <si>
    <t>80+</t>
  </si>
  <si>
    <t>Maja ümbruses</t>
  </si>
  <si>
    <t>Baeri muuseum</t>
  </si>
  <si>
    <t>http://www.zbi.ee/baer/</t>
  </si>
  <si>
    <t>erki@zbi.ee</t>
  </si>
  <si>
    <t>Erki Tammiksaar</t>
  </si>
  <si>
    <t>Veski 4, 51005</t>
  </si>
  <si>
    <t>Olems</t>
  </si>
  <si>
    <t>Aed</t>
  </si>
  <si>
    <t>Eesti Kirjandusmuuseum (teadusasutus, mitte klassikaline muuseum)</t>
  </si>
  <si>
    <t>www.kirmus.ee</t>
  </si>
  <si>
    <t>kirmus@kirmus.ee</t>
  </si>
  <si>
    <t>Margus Peet</t>
  </si>
  <si>
    <t>Vanemuise 42, 51003</t>
  </si>
  <si>
    <t>150+</t>
  </si>
  <si>
    <t>8x5m</t>
  </si>
  <si>
    <t>Tänav/parkla</t>
  </si>
  <si>
    <t>Eesti Pimedate Muuseum (eramuuseum)</t>
  </si>
  <si>
    <t>aldo.kals@mail.ee</t>
  </si>
  <si>
    <t>Aldo Kals</t>
  </si>
  <si>
    <t>Ringtee 1, 51013</t>
  </si>
  <si>
    <t>25+</t>
  </si>
  <si>
    <t>Eesti Rahva Muuseum</t>
  </si>
  <si>
    <r>
      <rPr>
        <rFont val="Times New Roman"/>
        <color rgb="FF1155CC"/>
        <sz val="10.0"/>
      </rPr>
      <t>www.erm.ee</t>
    </r>
    <r>
      <rPr>
        <rFont val="Times New Roman"/>
        <color rgb="FF1155CC"/>
        <sz val="10.0"/>
      </rPr>
      <t xml:space="preserve"> </t>
    </r>
  </si>
  <si>
    <t>teeninduskeskus@erm.ee</t>
  </si>
  <si>
    <t>Viljar Pohommov</t>
  </si>
  <si>
    <t>Muuseumi tee 2, 60532</t>
  </si>
  <si>
    <t>1500+</t>
  </si>
  <si>
    <t>4x6</t>
  </si>
  <si>
    <t>Suvelava 500 inimest + Lennuväli 60 000+ inimest</t>
  </si>
  <si>
    <t>Eesti Spordi- ja Olümpiamuuseum</t>
  </si>
  <si>
    <t>www.spordimuuseum.ee</t>
  </si>
  <si>
    <t>info@spordimuuseum.ee</t>
  </si>
  <si>
    <t>Karl Kask</t>
  </si>
  <si>
    <t>Rüütli 15, 51007</t>
  </si>
  <si>
    <t>200+</t>
  </si>
  <si>
    <t>4x3</t>
  </si>
  <si>
    <t>Eesti Trükimuuseum</t>
  </si>
  <si>
    <t>www.typa.ee</t>
  </si>
  <si>
    <t>typa@typa.ee</t>
  </si>
  <si>
    <t>Madis Mikkor</t>
  </si>
  <si>
    <t>Kastani 48f, 50410</t>
  </si>
  <si>
    <t>50+</t>
  </si>
  <si>
    <t>Tänaval/parklas</t>
  </si>
  <si>
    <t>Hoovis</t>
  </si>
  <si>
    <t>Kaitseväe Ühendatud Õppeasutuste muuseum</t>
  </si>
  <si>
    <r>
      <rPr>
        <rFont val="Times New Roman"/>
        <color rgb="FF1155CC"/>
        <sz val="10.0"/>
      </rPr>
      <t>www.kvak.ee/muuseum/</t>
    </r>
    <r>
      <rPr>
        <rFont val="Times New Roman"/>
        <color rgb="FF1155CC"/>
        <sz val="10.0"/>
      </rPr>
      <t xml:space="preserve"> </t>
    </r>
  </si>
  <si>
    <t>731 416</t>
  </si>
  <si>
    <t>kva.muuseum@mil.ee</t>
  </si>
  <si>
    <t>Hans Lehepuu</t>
  </si>
  <si>
    <t>Riia 12, 51010</t>
  </si>
  <si>
    <t>30+</t>
  </si>
  <si>
    <t>Maja ees väljakul</t>
  </si>
  <si>
    <t>KGB Kongide muuseum (Tartu Linnamuuseumi filiaal)</t>
  </si>
  <si>
    <t>www.muuseum.tartu.ee/kgb-kongide-muuseum/</t>
  </si>
  <si>
    <t>kgb@muuseum.tartu.ee</t>
  </si>
  <si>
    <t>Martin Jaigma</t>
  </si>
  <si>
    <t>Riia 15b, 51010</t>
  </si>
  <si>
    <t>Laulupeomuuseum (Tartu Linnamuuseumi filiaal)</t>
  </si>
  <si>
    <t>wwww.muuseum.tartu.ee/rent/laulupeomuuseumi-park-paviljoniga/</t>
  </si>
  <si>
    <t>laulupeomuuseum@muuseum.tartu.ee</t>
  </si>
  <si>
    <t>Liivia Suurväli</t>
  </si>
  <si>
    <t>Jaama 14, 51009</t>
  </si>
  <si>
    <t>Park paviljoniga+sisehoov</t>
  </si>
  <si>
    <t>Oskar Lutsu majamuuseum (Tartu Linnamuuseumi filiaal)</t>
  </si>
  <si>
    <t>www.muuseum.tartu.ee/oskar-lutsu-majamuuseum/</t>
  </si>
  <si>
    <t>meeli.valjaots@muuseum.tartu.ee</t>
  </si>
  <si>
    <t>Meeli Väljaots</t>
  </si>
  <si>
    <t>Riia 38, 50405</t>
  </si>
  <si>
    <t>Mahukas aed 200 inimesele</t>
  </si>
  <si>
    <t>Skulptor Endel Taniloo kortermuuseum (eramuuseum)</t>
  </si>
  <si>
    <t>www.muuseum.taniloo.ee</t>
  </si>
  <si>
    <t>muuseum@taniloo.ee</t>
  </si>
  <si>
    <t>Urmas Taniloo</t>
  </si>
  <si>
    <t>Jakobi 35, 51005</t>
  </si>
  <si>
    <t>15+</t>
  </si>
  <si>
    <t>Tartu Kunstimaja</t>
  </si>
  <si>
    <t>Galerii</t>
  </si>
  <si>
    <t>www.kunstimaja.ee</t>
  </si>
  <si>
    <t>produtsent@kunstimaja.ee</t>
  </si>
  <si>
    <t>Tanel Asmer</t>
  </si>
  <si>
    <t>Vanemuise 26, 51003</t>
  </si>
  <si>
    <t>Galeriivalgustus, stanged</t>
  </si>
  <si>
    <t>Tartu Kunstimuuseum</t>
  </si>
  <si>
    <t>www.tartumus.ee</t>
  </si>
  <si>
    <t>tartmus@tartmus.ee</t>
  </si>
  <si>
    <t>Katrin Lõoke</t>
  </si>
  <si>
    <t>Raekoja plats 18, 51004</t>
  </si>
  <si>
    <t>60+</t>
  </si>
  <si>
    <t>40+</t>
  </si>
  <si>
    <t>Tartu Linnamuuseum</t>
  </si>
  <si>
    <t>www.muuseum.tartu.ee</t>
  </si>
  <si>
    <t>linnamuuseum@muuseum.tartu.ee</t>
  </si>
  <si>
    <t>Liisi-Reet Reinet</t>
  </si>
  <si>
    <t>Narva mnt 23, 51009</t>
  </si>
  <si>
    <t>Parkla+tänav</t>
  </si>
  <si>
    <t>Tartu Mänguasjamuuseum</t>
  </si>
  <si>
    <t>www.mm.ee</t>
  </si>
  <si>
    <t>muuseum@mm.ee</t>
  </si>
  <si>
    <t>Küllike Grauberg</t>
  </si>
  <si>
    <t>Lutsu 8, 51005</t>
  </si>
  <si>
    <t>Tänav</t>
  </si>
  <si>
    <t>Tartu Ülikooli Loodusmuuseum</t>
  </si>
  <si>
    <t>www.natmuseum.ut.ee</t>
  </si>
  <si>
    <t>loodusmuuseum@ut.ee</t>
  </si>
  <si>
    <t>Annely Jõgeva</t>
  </si>
  <si>
    <t>Vanemuise 46, 50410</t>
  </si>
  <si>
    <t>Maja ees Hurda pargis</t>
  </si>
  <si>
    <t>Tartu Ülikooli Botaanikaaed</t>
  </si>
  <si>
    <t>www.botaanikaaed.ut.ee</t>
  </si>
  <si>
    <t>botaed@ut.ee</t>
  </si>
  <si>
    <t>Lai 38, 51005</t>
  </si>
  <si>
    <t xml:space="preserve">Tartu Ülikooli Muuseum </t>
  </si>
  <si>
    <t>www.muuseum.ut.ee</t>
  </si>
  <si>
    <t>muuseum@ut.ee</t>
  </si>
  <si>
    <t>Ülle Naur</t>
  </si>
  <si>
    <t>Lossi 25, 51003</t>
  </si>
  <si>
    <t>Kolmas</t>
  </si>
  <si>
    <t>Tänav+parkla</t>
  </si>
  <si>
    <t>Toomkiriku varemetes 500+ inimest.</t>
  </si>
  <si>
    <t>Elektriteater/ Tartu Ülikooli kirik</t>
  </si>
  <si>
    <t>Kino</t>
  </si>
  <si>
    <t>www.elektriteater.ee</t>
  </si>
  <si>
    <t>info@elektriteater.ee</t>
  </si>
  <si>
    <t>Andres Kauts</t>
  </si>
  <si>
    <t>Jakobi 1, 51005</t>
  </si>
  <si>
    <t>Ülikooli peahoone hoovis</t>
  </si>
  <si>
    <t>Apollo kino Eedeni keskus</t>
  </si>
  <si>
    <t>www.apollokino.ee</t>
  </si>
  <si>
    <t>event@apollokino.ee</t>
  </si>
  <si>
    <t>Kalda tee 1c, 50104</t>
  </si>
  <si>
    <t>Apollo kino Lõunakeskuses</t>
  </si>
  <si>
    <t>Ringtee 75, 50501</t>
  </si>
  <si>
    <t>End. Athena Keskus</t>
  </si>
  <si>
    <t>www.luterlik.edu.ee/athena-keskus/</t>
  </si>
  <si>
    <t>athena@luterlik.edu.ee</t>
  </si>
  <si>
    <t>Kairi Kuusik</t>
  </si>
  <si>
    <t>Küütri 1, 51007</t>
  </si>
  <si>
    <t>400+</t>
  </si>
  <si>
    <t>10x7</t>
  </si>
  <si>
    <t>Tartu Oskar Lutsu nimeline Linnaraamatukogu</t>
  </si>
  <si>
    <t>www.luts.ee</t>
  </si>
  <si>
    <t>oskar@luts.ee</t>
  </si>
  <si>
    <t>Kristiina Selli-Tupits</t>
  </si>
  <si>
    <t>Kompanii 3/5, 51004</t>
  </si>
  <si>
    <t>Neljas</t>
  </si>
  <si>
    <t>TÜ raamatukogu</t>
  </si>
  <si>
    <t>www.utlib.ut.ee</t>
  </si>
  <si>
    <t>katriin.kaljovee@ut.ee</t>
  </si>
  <si>
    <t>Katriin Kaljovee</t>
  </si>
  <si>
    <t>Wilhelm Struve 1, 50091</t>
  </si>
  <si>
    <t>800+</t>
  </si>
  <si>
    <t xml:space="preserve">Terass/majaesine </t>
  </si>
  <si>
    <t>Tartu Loomemajanduskeskus</t>
  </si>
  <si>
    <t>www.loovtartu.ee</t>
  </si>
  <si>
    <t>kristjan@lmk.ee</t>
  </si>
  <si>
    <t>Kristjan Kasemets</t>
  </si>
  <si>
    <t>Kalevi 13, 51010</t>
  </si>
  <si>
    <t xml:space="preserve">Suur park, mahutab tuhandeid. </t>
  </si>
  <si>
    <t>Antoniuse õu</t>
  </si>
  <si>
    <t>www.loovtartu.ee/lmk/kylastajale/antonius</t>
  </si>
  <si>
    <t>Lutsu 3, 51006</t>
  </si>
  <si>
    <t>Antoniuse õues, mahutavus 200+</t>
  </si>
  <si>
    <t>Kammivabriku saal</t>
  </si>
  <si>
    <t>www.kammivabrik.ee</t>
  </si>
  <si>
    <t>info@kammivabrik.ee</t>
  </si>
  <si>
    <t>Sandra Tidor</t>
  </si>
  <si>
    <t>Teguri 26, 51013</t>
  </si>
  <si>
    <t>8x5</t>
  </si>
  <si>
    <t>Kammivabriku tehasehoone</t>
  </si>
  <si>
    <t>Teguri 28A, 51014</t>
  </si>
  <si>
    <t>2000+</t>
  </si>
  <si>
    <t>Galerii Pallas</t>
  </si>
  <si>
    <t>www.pallasart.ee/galerii-pallas/</t>
  </si>
  <si>
    <t>galerii@pallasart.ee</t>
  </si>
  <si>
    <t>Reet Pulk-Piatkowska</t>
  </si>
  <si>
    <t>Riia 11, 51010</t>
  </si>
  <si>
    <t xml:space="preserve">Galeriivalgustus, stanged </t>
  </si>
  <si>
    <t>Gildi galerii</t>
  </si>
  <si>
    <t>www.facebook.com/Gildi-galerii-573217399401495/</t>
  </si>
  <si>
    <t>gildi.galerii@mail.ee</t>
  </si>
  <si>
    <t>Rosalie Pedassaar</t>
  </si>
  <si>
    <t>Gildi 2, 51007</t>
  </si>
  <si>
    <t>20+</t>
  </si>
  <si>
    <t xml:space="preserve">Kogo galerii  </t>
  </si>
  <si>
    <t>www.kogogallery.ee</t>
  </si>
  <si>
    <t>kogo@kogogallery.ee</t>
  </si>
  <si>
    <t>Liina Raus</t>
  </si>
  <si>
    <t>Kastani 42, 50410</t>
  </si>
  <si>
    <t>Sisehoovis</t>
  </si>
  <si>
    <t>Tiigi seltsimaja</t>
  </si>
  <si>
    <t>www.tiigiseltsimaja.tartu.ee</t>
  </si>
  <si>
    <t>kaari.soosalu@raad.tartu.ee</t>
  </si>
  <si>
    <t>Kaari Soosalu</t>
  </si>
  <si>
    <t>Tiigi 11, 51003</t>
  </si>
  <si>
    <t>25m2</t>
  </si>
  <si>
    <t xml:space="preserve">Tartu Üliõpilasmaja (Sõbra maja) </t>
  </si>
  <si>
    <t>www.tym.ee</t>
  </si>
  <si>
    <t>tym@ut.ee</t>
  </si>
  <si>
    <t>Ilme Tiik</t>
  </si>
  <si>
    <t>Kalevi 24, 51010</t>
  </si>
  <si>
    <t>100m2</t>
  </si>
  <si>
    <t>Tagumine hoov</t>
  </si>
  <si>
    <t>Genialistide Klubi</t>
  </si>
  <si>
    <t>Klubi</t>
  </si>
  <si>
    <t>www.genklubi.ee</t>
  </si>
  <si>
    <t>info@genklubi.ee</t>
  </si>
  <si>
    <t>Allan Aint</t>
  </si>
  <si>
    <t>Magasini 5, 51005</t>
  </si>
  <si>
    <t>700+</t>
  </si>
  <si>
    <t>8x6m</t>
  </si>
  <si>
    <t>Hoovilava terassiga</t>
  </si>
  <si>
    <t>Tartu Jazziklubi</t>
  </si>
  <si>
    <t>www.klubi.tartujazz.ee</t>
  </si>
  <si>
    <t>oleg@tartujazz.ee</t>
  </si>
  <si>
    <t>Oleg Pissarenko</t>
  </si>
  <si>
    <t>End. Klubi Illusioon (varsti Maxima?)</t>
  </si>
  <si>
    <t>www.illusion.ee</t>
  </si>
  <si>
    <t>info@illusion.ee</t>
  </si>
  <si>
    <t>Gunnar Mitt</t>
  </si>
  <si>
    <t>Raatuse 97, 50604</t>
  </si>
  <si>
    <t>1200+</t>
  </si>
  <si>
    <t>Rokiklubi Rock&amp;Roll</t>
  </si>
  <si>
    <t>www.rocknroll.ee</t>
  </si>
  <si>
    <t>roll@rockroll.ee</t>
  </si>
  <si>
    <t>Roland Sutt</t>
  </si>
  <si>
    <t>Tiigi 76A, 51004</t>
  </si>
  <si>
    <t>6x5</t>
  </si>
  <si>
    <t>Väike sisehoov</t>
  </si>
  <si>
    <t>Ööklubi Maasikas</t>
  </si>
  <si>
    <t>www.maasikas.com</t>
  </si>
  <si>
    <t>maasikas@maasikas.com</t>
  </si>
  <si>
    <t>Kristel Kadaja</t>
  </si>
  <si>
    <t>Küüni 7, 51004</t>
  </si>
  <si>
    <t>500+</t>
  </si>
  <si>
    <t>Ööklubi Vabank</t>
  </si>
  <si>
    <t>www.vabankclub.ee</t>
  </si>
  <si>
    <t>info@vabankclub.ee</t>
  </si>
  <si>
    <t>Ronald Blumenau</t>
  </si>
  <si>
    <t>Ülikooli 8a, 51004</t>
  </si>
  <si>
    <t>Tartu Erinevate Tubade Klubi</t>
  </si>
  <si>
    <t>www.tartuetk.ee</t>
  </si>
  <si>
    <t>tartu@tartuetk.ee</t>
  </si>
  <si>
    <t>Hanno Pasovs</t>
  </si>
  <si>
    <t>Aparaaditehase sisehoovis.</t>
  </si>
  <si>
    <t>Tartu adventkirik</t>
  </si>
  <si>
    <t>www.tartu.advent.ee</t>
  </si>
  <si>
    <t>hele.kulp@advent.ee</t>
  </si>
  <si>
    <t>Hele Kulp</t>
  </si>
  <si>
    <t>Lille 18, 50110</t>
  </si>
  <si>
    <t>Tartu Jaani kirik</t>
  </si>
  <si>
    <t>www.jaanikirik.ee</t>
  </si>
  <si>
    <t>tartu.jaani@eelk.ee</t>
  </si>
  <si>
    <t>Triin Käpp</t>
  </si>
  <si>
    <t>Jaani 5, 51007</t>
  </si>
  <si>
    <t>Tartu Jumalaema Uinumise katedraalkirik</t>
  </si>
  <si>
    <t>www.eoc.ee/kogudus/tartu-jumalaema-uinumise-kogudus/</t>
  </si>
  <si>
    <t>vladimir@eoc.ee</t>
  </si>
  <si>
    <t>Liidia Madison</t>
  </si>
  <si>
    <t>Magasini 1, 51005</t>
  </si>
  <si>
    <t>Hoov</t>
  </si>
  <si>
    <t>Tartu katoliku kirik</t>
  </si>
  <si>
    <t>www.neitsimaarja.ee</t>
  </si>
  <si>
    <t>isa_miguel@hotmail.com</t>
  </si>
  <si>
    <t>Miguel Rosenthal</t>
  </si>
  <si>
    <t>Veski 1-1A, 51005</t>
  </si>
  <si>
    <t>Suur õueala</t>
  </si>
  <si>
    <t>Tartu Kolgata kirik</t>
  </si>
  <si>
    <t>www.kolgata.ee</t>
  </si>
  <si>
    <t>pastor@kolgata.ee</t>
  </si>
  <si>
    <t>Tiit Torila</t>
  </si>
  <si>
    <t>Veski 40, 50409</t>
  </si>
  <si>
    <t>Tartu Maarja kirik</t>
  </si>
  <si>
    <t>www.tartumaarja.eelk.ee</t>
  </si>
  <si>
    <t>tartu.maarja@eelk.ee</t>
  </si>
  <si>
    <t>Timo Svedko</t>
  </si>
  <si>
    <t>Õpetaja 5, 51003</t>
  </si>
  <si>
    <t>Kiriku ees</t>
  </si>
  <si>
    <t>Tartu Pauluse kirik</t>
  </si>
  <si>
    <t>www.tartupauluse.ee</t>
  </si>
  <si>
    <t>tartu.pauluse@eelk.ee</t>
  </si>
  <si>
    <t>Kristjan Luhamets</t>
  </si>
  <si>
    <t>Riia 27, 51010</t>
  </si>
  <si>
    <t>1100+</t>
  </si>
  <si>
    <t>Tartu Peetri kirik</t>
  </si>
  <si>
    <t>www.tartupeetri.eelk.ee</t>
  </si>
  <si>
    <t>tartu.peetri@eelk.ee</t>
  </si>
  <si>
    <t>Ants Tooming</t>
  </si>
  <si>
    <t>Narva mnt 104, 50303</t>
  </si>
  <si>
    <t>Tartu Püha Aleksandri kirik</t>
  </si>
  <si>
    <t>www.eoc.ee/kogudus/tartu-puhade-aleksandrite-kogudus/</t>
  </si>
  <si>
    <t>vadim@eoc.ee</t>
  </si>
  <si>
    <t>Vadim Rebase</t>
  </si>
  <si>
    <t>Sõbra 19, 50107</t>
  </si>
  <si>
    <t>Tartu Püha Luuka kirik</t>
  </si>
  <si>
    <t>www.tartu.metodistikirik.ee</t>
  </si>
  <si>
    <t>tartu@metodistikirik.ee</t>
  </si>
  <si>
    <t>Priit Tamm</t>
  </si>
  <si>
    <t>Vallikraavi 16a, 51003</t>
  </si>
  <si>
    <t>Suur aed</t>
  </si>
  <si>
    <t>Tartu Salemi kirik</t>
  </si>
  <si>
    <t>www.salem.ee</t>
  </si>
  <si>
    <t>salem@salem.ee</t>
  </si>
  <si>
    <t>Aino Meitern</t>
  </si>
  <si>
    <t>Kalevi 76, 50104</t>
  </si>
  <si>
    <t>Tartu Kirjanduse maja</t>
  </si>
  <si>
    <t>www.ekl.ee/tartu</t>
  </si>
  <si>
    <t>berkvaher@gmail.com</t>
  </si>
  <si>
    <t>Berk Vaher</t>
  </si>
  <si>
    <t>Vanemuise 19, 51014</t>
  </si>
  <si>
    <t>Sisehoov koos aiaga</t>
  </si>
  <si>
    <t>Tartu Näitused</t>
  </si>
  <si>
    <t>www.tartunaitused.ee</t>
  </si>
  <si>
    <t>info@tartunaitused.ee</t>
  </si>
  <si>
    <t>Annika Pettai</t>
  </si>
  <si>
    <t>F. R. Kreutzwaldi 60, 51006</t>
  </si>
  <si>
    <t>3000+</t>
  </si>
  <si>
    <t>Väga suur väliala, mahutab 45 000+ inimest</t>
  </si>
  <si>
    <t>A Le Coq Sport spordihoone</t>
  </si>
  <si>
    <t>https://tartusport.ee/hooned/spordihooned/a-le-coq-sport-spordimaja</t>
  </si>
  <si>
    <t>alecoq@tartusport.ee</t>
  </si>
  <si>
    <t>Anneli Männamets</t>
  </si>
  <si>
    <t>Ihaste tee 5, 51011</t>
  </si>
  <si>
    <t>Tartu Ülikooli spordihoone</t>
  </si>
  <si>
    <t>www.sport.ut.ee</t>
  </si>
  <si>
    <t>kessu.kindsigo@ut.ee</t>
  </si>
  <si>
    <t>Kessu Kindsigo</t>
  </si>
  <si>
    <t>Ujula 4, 51008</t>
  </si>
  <si>
    <t>Tartu Tamme staadion</t>
  </si>
  <si>
    <t>www.tartusport.ee/hooned/staadionid/tamme-staadioni-kompleks/</t>
  </si>
  <si>
    <t>tammestaadion@tartusport.ee</t>
  </si>
  <si>
    <t>Signe Renter</t>
  </si>
  <si>
    <t>Tamme pst 1, 50403</t>
  </si>
  <si>
    <t>Staadionil tribüün 1638 istekohaga.</t>
  </si>
  <si>
    <t>Tartu Ülikooli staadion</t>
  </si>
  <si>
    <t>https://sport.ut.ee/locations/tartu-ulikooli-staadion/</t>
  </si>
  <si>
    <t>Staadioni 21, 51008</t>
  </si>
  <si>
    <t>1700+</t>
  </si>
  <si>
    <t>Staadionil 200 statsionaarset istekohta + 1500 lisatribüüniga.</t>
  </si>
  <si>
    <t>Tartu Noorsootöö Keskuse Anne Noortekeskus</t>
  </si>
  <si>
    <t>https://tntk.tartu.ee/anne-noortekeskus</t>
  </si>
  <si>
    <t>heilika.peterson@raad.tartu.ee</t>
  </si>
  <si>
    <t>Heilika Peterson</t>
  </si>
  <si>
    <t>Uus 56, 50606</t>
  </si>
  <si>
    <t>Tartu Noorsootöö Keskuse Lille Noortekeskus</t>
  </si>
  <si>
    <t>https://tntk.tartu.ee/lille-noortekeskus</t>
  </si>
  <si>
    <t>Lille 9, 50110</t>
  </si>
  <si>
    <t>Tartu Loodusmaja</t>
  </si>
  <si>
    <t>www.tartuloodusmaja.ee</t>
  </si>
  <si>
    <t>info@tartuloodusmaja.ee</t>
  </si>
  <si>
    <t>Katrin Juhanson</t>
  </si>
  <si>
    <t>Lille 10, 50110</t>
  </si>
  <si>
    <t>Suur 10 000m2 park, kus saab korraldada suuri festivale jne.</t>
  </si>
  <si>
    <t>Kultuuriklubi Salong</t>
  </si>
  <si>
    <t>https://www.facebook.com/kultuuriklubiSalong</t>
  </si>
  <si>
    <t>velsker@gmail.com</t>
  </si>
  <si>
    <t>Ants Siim</t>
  </si>
  <si>
    <t>Keldrikorrusel</t>
  </si>
  <si>
    <t>Galeriivalgus, stanged</t>
  </si>
  <si>
    <t>Siseõu ja aed, kus saab korraldada paarisaja inimesega üritusi.</t>
  </si>
  <si>
    <t>Krokodilli klubi</t>
  </si>
  <si>
    <t>https://www.facebook.com/krokstartu</t>
  </si>
  <si>
    <t>joonas.soosaar@gmail.com</t>
  </si>
  <si>
    <t>Sander Luuk</t>
  </si>
  <si>
    <t>Liiva 41, 50303</t>
  </si>
  <si>
    <t>V-Spa konverentsikeskus</t>
  </si>
  <si>
    <t>https://vspahotel.ee/konverentsikeskus/v-konverentsikeskus/</t>
  </si>
  <si>
    <t>info@vspahotel.ee</t>
  </si>
  <si>
    <t>Kerli Pauskar</t>
  </si>
  <si>
    <t>Riia 2, 51004</t>
  </si>
  <si>
    <t>Aparaaditehas (Armastuse saal)</t>
  </si>
  <si>
    <t>https://www.aparaaditehas.ee/majalised/armastuse-saal</t>
  </si>
  <si>
    <t>hanna-marii@aparaaditehas.ee</t>
  </si>
  <si>
    <t>Kerli Jõgi</t>
  </si>
  <si>
    <t>Tartu Laululava</t>
  </si>
  <si>
    <t>www.arena.ee</t>
  </si>
  <si>
    <t>tahtvere@tartusport.ee</t>
  </si>
  <si>
    <t>Auli Solo</t>
  </si>
  <si>
    <t>Laulupeo pst 25, 51007</t>
  </si>
  <si>
    <t>15000+</t>
  </si>
  <si>
    <t>Lauluväljak  10 000 statsionaarsete istekohta, 5000 murupeal. + 2500 istekohta raadiomaja taga nõlval, olemas lava</t>
  </si>
  <si>
    <t>TÜ kunstimuuseum</t>
  </si>
  <si>
    <t>www.kunstimuuseum.ut.ee</t>
  </si>
  <si>
    <t>kunstimuuseum@ut.ee</t>
  </si>
  <si>
    <t>Leelo Kriisa</t>
  </si>
  <si>
    <t>Ülikooli 18, 50090</t>
  </si>
  <si>
    <t>Peahoone siseõu</t>
  </si>
  <si>
    <t xml:space="preserve">Spark Demo </t>
  </si>
  <si>
    <t>www.sparkdemo.ee</t>
  </si>
  <si>
    <t>info@sparkdemo.ee</t>
  </si>
  <si>
    <t>Rasmus Haugasmägi</t>
  </si>
  <si>
    <t>Narva mnt 3, 51009</t>
  </si>
  <si>
    <t>Variku spordihoone</t>
  </si>
  <si>
    <t>https://tartusport.ee/hooned/spordihooned/variku-spordihoone/</t>
  </si>
  <si>
    <t>variku@tartusport.ee</t>
  </si>
  <si>
    <t>Tiiu Ärmann</t>
  </si>
  <si>
    <t>Aianduse 4, 50110</t>
  </si>
  <si>
    <t xml:space="preserve">Raadi lennukiangaarid </t>
  </si>
  <si>
    <t>www.fatartukalev.ee</t>
  </si>
  <si>
    <t>info@fatartukalev.ee</t>
  </si>
  <si>
    <t>Kalmer Kaasik</t>
  </si>
  <si>
    <t>Roosi 83, 51009</t>
  </si>
  <si>
    <t>Tähtvere tantsukeskus</t>
  </si>
  <si>
    <t>www.tartutants.ee</t>
  </si>
  <si>
    <t>info@tartutants.ee</t>
  </si>
  <si>
    <t>Eva-Liis Ivask</t>
  </si>
  <si>
    <t>Laulupeo pst 19, 51009</t>
  </si>
  <si>
    <t>Tähtvere pargis</t>
  </si>
  <si>
    <t>Lodjakoda</t>
  </si>
  <si>
    <t>www.lodi.ee</t>
  </si>
  <si>
    <t>info@lodi.ee</t>
  </si>
  <si>
    <t>Liisa-Lota Kaivo</t>
  </si>
  <si>
    <t>Ujula 95, 51008</t>
  </si>
  <si>
    <t>Kuursaal 280m2 + suur väliala, ujuvlava.</t>
  </si>
  <si>
    <t>Kõrveküla raamatukogu</t>
  </si>
  <si>
    <t>Tartu Vald</t>
  </si>
  <si>
    <t>tmk.tartuvald.ee</t>
  </si>
  <si>
    <t>733 7771</t>
  </si>
  <si>
    <t>raamatukogu@tartuvald.ee</t>
  </si>
  <si>
    <t>Hele Ellermaa</t>
  </si>
  <si>
    <t>Vasula tee 12, Kõrveküla, 60512 Tartumaa</t>
  </si>
  <si>
    <t>Lähte Ühisraamatukogu</t>
  </si>
  <si>
    <t>https://tmk.tartuvald.ee/?p=282</t>
  </si>
  <si>
    <t>7494 269</t>
  </si>
  <si>
    <t>lahterk@tartuvv.ee</t>
  </si>
  <si>
    <t>Heili Tali</t>
  </si>
  <si>
    <t>Õpetaja 8a, Lähte alevik,  60502 Tartumaa</t>
  </si>
  <si>
    <t>Tammistu raamatukogu-külakeskus</t>
  </si>
  <si>
    <t>https://tmk.tartuvald.ee/?p=296</t>
  </si>
  <si>
    <t>5300 1922</t>
  </si>
  <si>
    <t>tammistu.raamatukogu@tartuvald.ee</t>
  </si>
  <si>
    <t>Regina Evert-Tammistu</t>
  </si>
  <si>
    <t>Tammistu keskus 10, Tartu vald, 60531 Tartumaa</t>
  </si>
  <si>
    <t>Vedu raamatukogu</t>
  </si>
  <si>
    <t>https://tmk.tartuvald.ee/?p=304</t>
  </si>
  <si>
    <t>749 7923</t>
  </si>
  <si>
    <t>vedurk@tartuvv.ee</t>
  </si>
  <si>
    <t>Mare Sumberg</t>
  </si>
  <si>
    <t>Vedu küla, Tartu vald, 60536 Tartumaa</t>
  </si>
  <si>
    <t>Äksi raamatukogu</t>
  </si>
  <si>
    <t>https://tmk.tartuvald.ee/?p=309</t>
  </si>
  <si>
    <t>735 3138</t>
  </si>
  <si>
    <t>aksirk@tartuvv.ee</t>
  </si>
  <si>
    <t>Anita Priks</t>
  </si>
  <si>
    <t>Saadjärve tn 22, Äksi alevik, Tartu vald, 60543 Tartumaa</t>
  </si>
  <si>
    <t>Tabivere raamatukogu</t>
  </si>
  <si>
    <t>tabivereraamatukogu.wordpress.com</t>
  </si>
  <si>
    <t>776 6947</t>
  </si>
  <si>
    <t>tabivere.raamatukogu@tartuvald.ee</t>
  </si>
  <si>
    <t>Anne Aunap</t>
  </si>
  <si>
    <t>Hariduse 1,Tabivere alevik, Tartu vald, 49127 Tartumaa</t>
  </si>
  <si>
    <t>Maarja-Magdaleena raamatukogu</t>
  </si>
  <si>
    <t>https://tmk.tartuvald.ee/?p=1906</t>
  </si>
  <si>
    <t>773 8290</t>
  </si>
  <si>
    <t>maarjark@tabivere.ee</t>
  </si>
  <si>
    <t>Heidy Prükk</t>
  </si>
  <si>
    <t>Maarja-Magdaleena küla, Tartu vald, 49126 Tartumaa</t>
  </si>
  <si>
    <t>Elistvere raamatukogu</t>
  </si>
  <si>
    <t>https://tmk.tartuvald.ee/?p=1901</t>
  </si>
  <si>
    <t>776 4886</t>
  </si>
  <si>
    <t>elistvererk@tabivere.ee</t>
  </si>
  <si>
    <t>Heli Täpsi</t>
  </si>
  <si>
    <t>Elistvere küla, Tartu vald, 49103 Tartumaa</t>
  </si>
  <si>
    <t>Laeva Rahvaraamatukogu</t>
  </si>
  <si>
    <t>raamatukogu.onepagefree.com/?id=18181&amp;</t>
  </si>
  <si>
    <t>5560 7660</t>
  </si>
  <si>
    <t>laeva.raamatukogu@tartuvald.ee</t>
  </si>
  <si>
    <t>Külli Suvi</t>
  </si>
  <si>
    <t>Väänikvere tee 8, Laeva küla, Tartu vald, 60608 Tartumaa</t>
  </si>
  <si>
    <t>Piirissaare raamatukogu</t>
  </si>
  <si>
    <t>https://tmk.tartuvald.ee/?p=290</t>
  </si>
  <si>
    <t>5668 0556</t>
  </si>
  <si>
    <t xml:space="preserve">piirissaare.raamatukogu@tartuvald.ee; ulle.lindjarv@tartuvald.ee </t>
  </si>
  <si>
    <t>Ülle Lindjärv</t>
  </si>
  <si>
    <t xml:space="preserve">Piirissaare, Tooni küla, Tartu vald, 62603 Tartumaa  </t>
  </si>
  <si>
    <t>Tabivere Rahvamaja</t>
  </si>
  <si>
    <t>http://www.tabivere.ee/ http://www,kultuur.tartuvald.ee/tabivere</t>
  </si>
  <si>
    <t>5044 479</t>
  </si>
  <si>
    <t>rahvamaja@tabivere.ee</t>
  </si>
  <si>
    <t>Kalev Pärtelpoeg</t>
  </si>
  <si>
    <t>Tuuliku 10, Tabivere alevik, Tartu vald, 49127 Tartumaa</t>
  </si>
  <si>
    <t>Maarja-Magdaleena Rahvamaja</t>
  </si>
  <si>
    <t>http://www.kultuur.tartuvald.ee/maarja</t>
  </si>
  <si>
    <t>773 8280, 5205 906</t>
  </si>
  <si>
    <t>maarjarm@tabivere.ee</t>
  </si>
  <si>
    <t>Tiia Pärtelpoeg</t>
  </si>
  <si>
    <t xml:space="preserve">Maarja – Magdaleena küla, Tartu vald, 49126 Tartumaa </t>
  </si>
  <si>
    <t>Laeva Kultuurimaja</t>
  </si>
  <si>
    <t>http://www.kultuur.tartuvald.ee/laeva</t>
  </si>
  <si>
    <t>5348 2100</t>
  </si>
  <si>
    <t>kultuur@laeva.ee, veronika.tapsi@tartuvald.ee</t>
  </si>
  <si>
    <t>Veronika Täpsi</t>
  </si>
  <si>
    <t>Väänikvere tee 6, Laeva küla, Tartu vald, 60608 Tartumaa</t>
  </si>
  <si>
    <t>Maarja-Magdaleen kirik</t>
  </si>
  <si>
    <t>773 8201</t>
  </si>
  <si>
    <t>maarja-magdaleena@eelk.ee</t>
  </si>
  <si>
    <t>Äksi püha Andrease kirik</t>
  </si>
  <si>
    <t>http://aksikogudus.org/</t>
  </si>
  <si>
    <t>5811 3195</t>
  </si>
  <si>
    <t>aksi@eelk.ee</t>
  </si>
  <si>
    <t>Esa Luukkala</t>
  </si>
  <si>
    <t>Voldi küla, Tartu vald, 49124 Tartumaa</t>
  </si>
  <si>
    <t>Laeva Noortekeskus</t>
  </si>
  <si>
    <t>http://noortekad.tartuvald.ee/laeva</t>
  </si>
  <si>
    <t>5855 2765</t>
  </si>
  <si>
    <t>laeva.noortekeskus@tartuvald.ee</t>
  </si>
  <si>
    <t>Triinu Täpsi</t>
  </si>
  <si>
    <t>Lähte Noortekeskus</t>
  </si>
  <si>
    <t>http://noortekad.tartuvald.ee/lahte</t>
  </si>
  <si>
    <t>5242 876</t>
  </si>
  <si>
    <t>carmen.rootsi@tartuvald.ee</t>
  </si>
  <si>
    <t>Carmen Rootsi</t>
  </si>
  <si>
    <t>Kase 7, Lähte alevik, Tartu vald, 60608 Tartumaa</t>
  </si>
  <si>
    <t>Maarja-Magdaleena Noortekeskus</t>
  </si>
  <si>
    <t>http://noortekad.tartuvald.ee/maarja</t>
  </si>
  <si>
    <t>5302 1020</t>
  </si>
  <si>
    <t>anneliis.simo@tartuvald.ee</t>
  </si>
  <si>
    <t>Anne-Liis Simo</t>
  </si>
  <si>
    <t>Tabivere Noortekeskus</t>
  </si>
  <si>
    <t>http://noortekad.tartuvald.ee/tabivere</t>
  </si>
  <si>
    <t>773 6121, 5664 7969</t>
  </si>
  <si>
    <t>noortekeskus@tabivere.ee</t>
  </si>
  <si>
    <t>Marianne Luik</t>
  </si>
  <si>
    <t xml:space="preserve">Tuuliku 10, Tabivere alevik, Tartu vald, 49127 Tartumaa </t>
  </si>
  <si>
    <t>Lähte Spordihoone</t>
  </si>
  <si>
    <t>https://tartuvallaspordikool.ee/</t>
  </si>
  <si>
    <t>516 6461</t>
  </si>
  <si>
    <t>spordikool@tartuvald.ee</t>
  </si>
  <si>
    <t>Valeeri Rubeika</t>
  </si>
  <si>
    <t>Õpetaja 8, Lähte alevik, Tartumaa 60502</t>
  </si>
  <si>
    <t>Suur väliala ja park</t>
  </si>
  <si>
    <t>Laeva spordihoone</t>
  </si>
  <si>
    <t>5349 9669</t>
  </si>
  <si>
    <t>markus.jogi@tartuvald.ee</t>
  </si>
  <si>
    <t>Markus Jõgi</t>
  </si>
  <si>
    <t>Aeru tee 3, Laeva küla, Laeva vald, 60608 Tartumaa</t>
  </si>
  <si>
    <t>Kõrveküla spordihall</t>
  </si>
  <si>
    <t>https://webzone.ee/korvesh/asukoht.php</t>
  </si>
  <si>
    <t>spordihall@hot.ee</t>
  </si>
  <si>
    <t>Kõrveküla Spordihall, Tartumaa, Kõrveküla, Haava sjsk 60501</t>
  </si>
  <si>
    <t>Saadjärve purjespordikeskus</t>
  </si>
  <si>
    <t>Lähte Ühisgümnaasiumi staadion</t>
  </si>
  <si>
    <t>Kõrveküla Põhikooli staadion</t>
  </si>
  <si>
    <t>http://www.korve.edu.ee/</t>
  </si>
  <si>
    <t>Tabivere Põhikooli staadion</t>
  </si>
  <si>
    <t>J.V.Veski nim Maarja-Magdaleena põhikooli staadion</t>
  </si>
  <si>
    <t>Soomepoiste tuba-muuseum</t>
  </si>
  <si>
    <t>https://visittartu.com/et/soomepoiste-tuba-muuseum</t>
  </si>
  <si>
    <t>Saadjärve tänav 22, Äksi alevik</t>
  </si>
  <si>
    <t>Jääaja Keskus</t>
  </si>
  <si>
    <t>https://jaaaeg.ee/en/</t>
  </si>
  <si>
    <t>5911 3318</t>
  </si>
  <si>
    <t>info@jaaaeg.ee</t>
  </si>
  <si>
    <t>Äksi, Tartumaa</t>
  </si>
  <si>
    <t>Nõo Koduloomuuseum</t>
  </si>
  <si>
    <t>Nõo vald</t>
  </si>
  <si>
    <t>https://nvv.kovtp.ee/noo-koduloomuuseum</t>
  </si>
  <si>
    <t>510 2872</t>
  </si>
  <si>
    <t>muuseum@nvv.ee</t>
  </si>
  <si>
    <t>Kai Toom</t>
  </si>
  <si>
    <t>Voika 23 Nõo alevik 61601 Tartumaa</t>
  </si>
  <si>
    <t>Meeri Küla Arendamise Selts</t>
  </si>
  <si>
    <t>http://www.meerikas.eu/index.php</t>
  </si>
  <si>
    <t>51 17 129</t>
  </si>
  <si>
    <t>meeriselts@gmail.com</t>
  </si>
  <si>
    <t>Anneli Saaroja</t>
  </si>
  <si>
    <t>Kivistiku talu, Meeri küla Nõo vald Tartumaa 61615</t>
  </si>
  <si>
    <t>20-25 inimest</t>
  </si>
  <si>
    <t>Külaplats</t>
  </si>
  <si>
    <t>Nõo Noortekeskus</t>
  </si>
  <si>
    <t>www.n6onoortekas.wordpress.com</t>
  </si>
  <si>
    <t>50 19605</t>
  </si>
  <si>
    <t>noortekeskus@nvv.ee</t>
  </si>
  <si>
    <t>Birgit Haan</t>
  </si>
  <si>
    <t>keldrikorrusel</t>
  </si>
  <si>
    <t>Nõo Kultuurimaja</t>
  </si>
  <si>
    <t>https://nvv.kovtp.ee/kultuuritegevus</t>
  </si>
  <si>
    <t>556 76614</t>
  </si>
  <si>
    <t>andri@nvv.ee</t>
  </si>
  <si>
    <t>Andri Viinalass</t>
  </si>
  <si>
    <t>Nõo raamatukogu</t>
  </si>
  <si>
    <t>https://nvv.kovtp.ee/raamatukogud</t>
  </si>
  <si>
    <t>510 2682</t>
  </si>
  <si>
    <t>helle@nvv.ee</t>
  </si>
  <si>
    <t>Helle Voore</t>
  </si>
  <si>
    <t>avalik internetipunkt</t>
  </si>
  <si>
    <t>Luke raamatukogu</t>
  </si>
  <si>
    <t>745 0782</t>
  </si>
  <si>
    <t>luke.raamatukogu@mail.ee</t>
  </si>
  <si>
    <t>Margit Paap</t>
  </si>
  <si>
    <t>Luke küla Nõo vald 61614 Tartumaa</t>
  </si>
  <si>
    <t>Nõgiaru raamatukogu</t>
  </si>
  <si>
    <t>749 4624</t>
  </si>
  <si>
    <t>nogiaruraamatukogu@nvv.ee</t>
  </si>
  <si>
    <t>Tartu tn 2-10 Nõgiaru küla Nõo vald Tartumaa</t>
  </si>
  <si>
    <t>Nõo Päevakeskus</t>
  </si>
  <si>
    <t>https://nvv.kovtp.ee/noo-paevakeskus</t>
  </si>
  <si>
    <t>530 18753</t>
  </si>
  <si>
    <t>krista@nvv.ee</t>
  </si>
  <si>
    <t>Krista Kvarnström</t>
  </si>
  <si>
    <t>Tartu 20, Nõo 61601 Tartumaa</t>
  </si>
  <si>
    <t>Nõo Spordikool</t>
  </si>
  <si>
    <t>http://noosport.ee/</t>
  </si>
  <si>
    <t>745 5598</t>
  </si>
  <si>
    <t>info@noosport.ee</t>
  </si>
  <si>
    <t>KATRINA KALLAS</t>
  </si>
  <si>
    <t>Kalju Aigro 1, Nõo alevik, Nõo vald, 61601 Tartumaa</t>
  </si>
  <si>
    <t>staadion, väliväljakud, mänguväljakud, rannahall, discgolfi park, jõulinnak</t>
  </si>
  <si>
    <t>Kalju Aigro 1, Nõo 61601, Tartumaa</t>
  </si>
  <si>
    <t>Nõo Reaalgümnaasium</t>
  </si>
  <si>
    <t>https://nrg.edu.ee/et</t>
  </si>
  <si>
    <t>7 455 247</t>
  </si>
  <si>
    <t>kool@nrg.edu.ee</t>
  </si>
  <si>
    <t>Kalju Aigro 5, Nõo 61601, Tartumaa</t>
  </si>
  <si>
    <t>Kooli õuealal on korvpalliväljak, välijõulinnak ja staadion (jalgpalli- ja rannavõrkpalliväljak ja jooksurada).</t>
  </si>
  <si>
    <t>Nõo Muusikakool</t>
  </si>
  <si>
    <t>https://muusika.nvv.ee/saal/tutvustus/</t>
  </si>
  <si>
    <t>745 5318</t>
  </si>
  <si>
    <t>nmuusika@nvv.ee</t>
  </si>
  <si>
    <t>Kätlin Virgo</t>
  </si>
  <si>
    <t>Tartu tn 14 Nõo alevik 61601 Tartumaa</t>
  </si>
  <si>
    <t>84 istekohta</t>
  </si>
  <si>
    <t>asub pargi ääres</t>
  </si>
  <si>
    <t>EELK Nõo Püha Laurentsiuse kirik</t>
  </si>
  <si>
    <t>http://nookirik.ee/</t>
  </si>
  <si>
    <t>566 11443</t>
  </si>
  <si>
    <t>mart.jaanson@eelk.ee</t>
  </si>
  <si>
    <t>Mart Jaanson</t>
  </si>
  <si>
    <t>Tartu tn 2 Nõo alevik, 61601 Tartumaa</t>
  </si>
  <si>
    <t>orel</t>
  </si>
  <si>
    <t>EAÕK Nõo Püha Kolmainu kirik</t>
  </si>
  <si>
    <t>https://nvv.kovtp.ee/kirikud-ja-kogudused</t>
  </si>
  <si>
    <t>520 2106</t>
  </si>
  <si>
    <t>Vana-Nõo tn 20 Nõo alevik 61601 Tartumaa</t>
  </si>
  <si>
    <t>Wana-Kolga Tsiklitall</t>
  </si>
  <si>
    <t>http://tsiklitall.ee/kontakt/</t>
  </si>
  <si>
    <t>505 6985</t>
  </si>
  <si>
    <t>info@tsiklitall.ee</t>
  </si>
  <si>
    <t>Jaan Sild</t>
  </si>
  <si>
    <t>Kolga küla 61611, Nõo vald, Tartumaa</t>
  </si>
  <si>
    <t>Heino Prosti Põllutöömasinate Muuseum</t>
  </si>
  <si>
    <t>https://www.facebook.com/profile.php?id=100054600212452</t>
  </si>
  <si>
    <t>735 1401</t>
  </si>
  <si>
    <t>jaanpk@yahoo.de</t>
  </si>
  <si>
    <t>Vissi külas Nõo vallas Tartumaal</t>
  </si>
  <si>
    <t xml:space="preserve">Vapramäe-Vellavere-Vitipalu SA Vapramäe Loodusmaja </t>
  </si>
  <si>
    <t>https://vvvs.ee/et/avaleht/</t>
  </si>
  <si>
    <t>triinu@vvvs.ee</t>
  </si>
  <si>
    <t>Triinu Pertels</t>
  </si>
  <si>
    <t>Voika 23, Nõo 61601, Tartumaa/tegutsemisaadress Vissi küla, Nõo vald</t>
  </si>
  <si>
    <t>I korrusel üks, Teine II korrusel</t>
  </si>
  <si>
    <t xml:space="preserve">olemas </t>
  </si>
  <si>
    <t>Tartu Observatooriumi Tõravere külastuskeskus</t>
  </si>
  <si>
    <t>https://kylastuskeskus.to.ee/est/kontakt</t>
  </si>
  <si>
    <t>737 4507</t>
  </si>
  <si>
    <t>visit@to.ee</t>
  </si>
  <si>
    <t xml:space="preserve">Observatooriumi 1, Tõravere Nõo vald, 61602 Tartumaa        </t>
  </si>
  <si>
    <t>park</t>
  </si>
  <si>
    <t>Luke Mõisa üritused MTÜ Kärnerimaja ja Kultuuriait</t>
  </si>
  <si>
    <t>https://lukemois.ee/</t>
  </si>
  <si>
    <t>info@lukemois.ee</t>
  </si>
  <si>
    <t>Voika 23, Nõo 61601, Tartumaa</t>
  </si>
  <si>
    <t>mõisapark (50 inimest)</t>
  </si>
  <si>
    <t>Nõgiaru Külaselts MTÜ</t>
  </si>
  <si>
    <t>kristelhudsi@gmail.com</t>
  </si>
  <si>
    <t>Nõgiaru puhasti, Nõgiaru küla, Tartu maakond</t>
  </si>
  <si>
    <t>Laguja Külaselts</t>
  </si>
  <si>
    <t>509 8186</t>
  </si>
  <si>
    <t>annika.paju@gmail.com</t>
  </si>
  <si>
    <t>Annika Paju</t>
  </si>
  <si>
    <t>Laguja küla</t>
  </si>
  <si>
    <t>Aakre külaselts</t>
  </si>
  <si>
    <t>Elva vald</t>
  </si>
  <si>
    <t>https://www.facebook.com/Aakre-k%C3%BClaselts-137308059673206/</t>
  </si>
  <si>
    <t>511 9856</t>
  </si>
  <si>
    <t>aakre.kyla@gmail.com</t>
  </si>
  <si>
    <t>Aakre küla</t>
  </si>
  <si>
    <t>MTÜ Elva Elama</t>
  </si>
  <si>
    <t>https://www.facebook.com/ElvaElama/</t>
  </si>
  <si>
    <t xml:space="preserve">Elva </t>
  </si>
  <si>
    <t>Mäeotsa Külamaja</t>
  </si>
  <si>
    <t>https://www.facebook.com/maeotsakylamaja/</t>
  </si>
  <si>
    <t>alar@koomasaare.ee</t>
  </si>
  <si>
    <t>Alar Ilp</t>
  </si>
  <si>
    <t>Mäeotsa küla, Elva vald, Tartu maakond, 61211</t>
  </si>
  <si>
    <t>I korrus</t>
  </si>
  <si>
    <t>Puhja Aja Mälu MTÜ</t>
  </si>
  <si>
    <t>https://ruthmaal.wixsite.com/puhjaajamalu?fbclid=IwAR1SE2iyVgr9SExUnlwoGu-yJthIrnUKKCWDLmVKC4sVwc8mrJpxR2A_MFI</t>
  </si>
  <si>
    <t>Linda</t>
  </si>
  <si>
    <t>Tilga Külamaja</t>
  </si>
  <si>
    <t>http://www.kodukanttartumaa.ee/index.php/kuelade-info/kuelamajad/91-kuelade-info/kuelamajad/92-tilga-seltsimaja</t>
  </si>
  <si>
    <t>515 4765</t>
  </si>
  <si>
    <t>kristina.ruder77@gmail.com</t>
  </si>
  <si>
    <t>Kristina Ruder</t>
  </si>
  <si>
    <t>Tilga küla, Elva vald, Tartumaa, 61015</t>
  </si>
  <si>
    <t>Külamaja Sääniku</t>
  </si>
  <si>
    <t>https://ugaraja.ee/portfolio/saaniku-talu-puhkekeskus</t>
  </si>
  <si>
    <t>5665 9816</t>
  </si>
  <si>
    <t>rutt.tuvike@mail.ee</t>
  </si>
  <si>
    <t>Rutt Tuvike</t>
  </si>
  <si>
    <t>Sääniku talu, Mäeselja küla, Elva vald, Tartumaa, 61308</t>
  </si>
  <si>
    <t>videoprojektor</t>
  </si>
  <si>
    <t>Rakke Külaselts</t>
  </si>
  <si>
    <t>https://www.facebook.com/groups/850301911667180/?fref=ts</t>
  </si>
  <si>
    <t>5399 8620</t>
  </si>
  <si>
    <t>rakkeselts@gmail.com</t>
  </si>
  <si>
    <t>Ene Sirel</t>
  </si>
  <si>
    <t>Väike-Rakke küla, Elva vald, Tartumaa, 61119</t>
  </si>
  <si>
    <t>Valguta Seltsimaja</t>
  </si>
  <si>
    <t>https://www.facebook.com/valguta.seltsimaja?fref=ts</t>
  </si>
  <si>
    <t>5662 4839</t>
  </si>
  <si>
    <t>merle@rongu.ee</t>
  </si>
  <si>
    <t>Merle Vääri</t>
  </si>
  <si>
    <t>Valguta tee 10, Lapetukme küla, Elva vald, Tartumaa, 61017</t>
  </si>
  <si>
    <t>muusikariistad, väike võimendus ja kõlarid</t>
  </si>
  <si>
    <t>Elva Kultuur ja Sport SA</t>
  </si>
  <si>
    <t>https://elvakultuur.ee/elva-kultuurikeskus/kultuurikeskusest/</t>
  </si>
  <si>
    <t>512 1810</t>
  </si>
  <si>
    <t>kultuur@elva.ee</t>
  </si>
  <si>
    <t>Kätlin Saarela</t>
  </si>
  <si>
    <t>Kesk 30, 61507, Elva</t>
  </si>
  <si>
    <t>I korrus fuajee</t>
  </si>
  <si>
    <t>lae kõrgus kuni 4 m, hajumisala 207,5 m2 (kodulehel erinevate mõõtudega näituseala plaan)</t>
  </si>
  <si>
    <t>Kultuurikohvik</t>
  </si>
  <si>
    <t xml:space="preserve">I korrus </t>
  </si>
  <si>
    <t>kohvikus akendel</t>
  </si>
  <si>
    <t>väliterrass</t>
  </si>
  <si>
    <t>Aakre Rahvamaja</t>
  </si>
  <si>
    <t>https://elvakultuur.ee/aakre-rahvamaja/teenused/</t>
  </si>
  <si>
    <t>5348 0229</t>
  </si>
  <si>
    <t>aakre.rahvamaja@elva.ee</t>
  </si>
  <si>
    <t>Sirle Lüüs</t>
  </si>
  <si>
    <t>Mõisa tee 12, Aakre, Elva vald, 67212 Tartumaa</t>
  </si>
  <si>
    <t>Hellenurme Kultuurimaja</t>
  </si>
  <si>
    <t>https://elvakultuur.ee/hellenurme-kultuurimaja/tutvustus/</t>
  </si>
  <si>
    <t>511 2479</t>
  </si>
  <si>
    <t>maia.kukk@elva.ee</t>
  </si>
  <si>
    <t>Maia Kukk</t>
  </si>
  <si>
    <t>Hellenurme küla, 67514 Elva vald, Tartumaa</t>
  </si>
  <si>
    <t>Hellenurme mõisa park</t>
  </si>
  <si>
    <t>Konguta Rahvamaja</t>
  </si>
  <si>
    <t>https://elvakultuur.ee/konguta-rahvamaja/tutvustus/</t>
  </si>
  <si>
    <t>525 9576</t>
  </si>
  <si>
    <t>konguta.rahvamaja@elva.ee</t>
  </si>
  <si>
    <t>Meelis Külaots</t>
  </si>
  <si>
    <t>Tartumaa, Elva vald, 61202, Annikoru küla</t>
  </si>
  <si>
    <t>kuni 150</t>
  </si>
  <si>
    <t>laululava Annikoru puhkepargis</t>
  </si>
  <si>
    <t>Konguta Rahvamaja Annikoru puhkepark</t>
  </si>
  <si>
    <t>välikäimla</t>
  </si>
  <si>
    <t>võrk- ja jalgpalliväljak</t>
  </si>
  <si>
    <t>Puhja Seltsimaja</t>
  </si>
  <si>
    <t>https://elvakultuur.ee/puhja-seltsimaja/tutvustus/</t>
  </si>
  <si>
    <t>529 1773</t>
  </si>
  <si>
    <t>puhja.seltsimaja@elva.ee</t>
  </si>
  <si>
    <t>Kaja Uds</t>
  </si>
  <si>
    <t>Viljandi tee 24, Puhja alevik, 61301, Elva vald, Tartu maakond</t>
  </si>
  <si>
    <t>64 m2, kõrgus 6 m</t>
  </si>
  <si>
    <t xml:space="preserve">olemas + inva + duššiga </t>
  </si>
  <si>
    <t>olemas + inva</t>
  </si>
  <si>
    <t>Rannu Rahvamaja</t>
  </si>
  <si>
    <t>https://elvakultuur.ee/rannu-rahvamaja/tutvustus/</t>
  </si>
  <si>
    <t>745 4275</t>
  </si>
  <si>
    <t>rannu.rahvamaja@elva.ee</t>
  </si>
  <si>
    <t>Liis Jaamets</t>
  </si>
  <si>
    <t>Elva tee 7, Rannu alevik, Elva vald, 61120 Tartumaa</t>
  </si>
  <si>
    <t>Rõngu Rahvamaja</t>
  </si>
  <si>
    <t>https://elvakultuur.ee/rongu-rahvamaja/tutvustus/</t>
  </si>
  <si>
    <t>516 5531</t>
  </si>
  <si>
    <t>rongu.rahvamaja@elva.ee</t>
  </si>
  <si>
    <t>Mari-Liis Vanaisak</t>
  </si>
  <si>
    <t>Valga mnt 12, 61001, Rõngu, Elva vald</t>
  </si>
  <si>
    <t>Aakre raamatukogu</t>
  </si>
  <si>
    <t>https://elvaraamatukogud.ee/aakre-raamatukogu/lahtiolekuajad/</t>
  </si>
  <si>
    <t>5196 0008</t>
  </si>
  <si>
    <t>aakre.raamatukogu@elva.ee</t>
  </si>
  <si>
    <t>Riina Siik</t>
  </si>
  <si>
    <t>Aakre, Elva vald, Tartumaa 67212</t>
  </si>
  <si>
    <t>internetipunkt</t>
  </si>
  <si>
    <t>Elva Linnaraamatukogu</t>
  </si>
  <si>
    <t>https://elvaraamatukogud.ee/elva-linnaraamatukogu/lahtiolekuajad/</t>
  </si>
  <si>
    <t>745 6755</t>
  </si>
  <si>
    <t>elva.raamatukogu@elva.ee</t>
  </si>
  <si>
    <t>Imbi Härson</t>
  </si>
  <si>
    <t>Tartu maantee 3, Elva linn, Elva vald, Tartumaa, 61505</t>
  </si>
  <si>
    <t>Konguta Raamatukogu</t>
  </si>
  <si>
    <t>https://elvaraamatukogud.ee/konguta-raamatukogu/lahtiolekuajad/</t>
  </si>
  <si>
    <t>745 9645</t>
  </si>
  <si>
    <t>konguta.raamatukogu@elva.ee</t>
  </si>
  <si>
    <t>Õilme Kasetalu</t>
  </si>
  <si>
    <t>Annikoru, 61202 Tartumaa</t>
  </si>
  <si>
    <t>Puhja Raamatukogu</t>
  </si>
  <si>
    <t>https://elvaraamatukogud.ee/puhja-raamatukogu/lahtiolekuajad/</t>
  </si>
  <si>
    <t>5345 6688</t>
  </si>
  <si>
    <t>puhja.raamatukogu@elva.ee</t>
  </si>
  <si>
    <t>Leini Laars</t>
  </si>
  <si>
    <t>Nooruse 4, Puhja, Tartumaa, 61301</t>
  </si>
  <si>
    <t>Puhja Raamatukogu Ulila harukogu</t>
  </si>
  <si>
    <t>https://elvaraamatukogud.ee/puhja-raamatukogu/ulila-harukogu/</t>
  </si>
  <si>
    <t>745 1740</t>
  </si>
  <si>
    <t>ulila.raamatukogu@elva.ee</t>
  </si>
  <si>
    <t>Sirje Dementjeva</t>
  </si>
  <si>
    <t>Pargi tn 1 Ulila alevik 61302 Elva vald</t>
  </si>
  <si>
    <t>Puhja Raamatukogu Uula harukogu</t>
  </si>
  <si>
    <t>https://elvaraamatukogud.ee/puhja-raamatukogu/uula-harukogu/</t>
  </si>
  <si>
    <t>745 1737</t>
  </si>
  <si>
    <t>uula.raamatukogu@elva.ee</t>
  </si>
  <si>
    <t>Elga Alberi</t>
  </si>
  <si>
    <t>Keskuse tee 4 Rämsi küla 61313 Elva vald</t>
  </si>
  <si>
    <t>Rannu Raamatukogu</t>
  </si>
  <si>
    <t>https://elvaraamatukogud.ee/rannu-raamatukogu/lahtiolekuajad/</t>
  </si>
  <si>
    <t>745 4151</t>
  </si>
  <si>
    <t>rannu.raamatukogu@elva.ee</t>
  </si>
  <si>
    <t>Viive Vink</t>
  </si>
  <si>
    <t>Rannu, 61120 Tartumaa</t>
  </si>
  <si>
    <t>Rannu Raamatukogu Sangla harukogu</t>
  </si>
  <si>
    <t>https://elvaraamatukogud.ee/rannu-raamatukogu/sangla-harukogu/</t>
  </si>
  <si>
    <t>745 4746</t>
  </si>
  <si>
    <t>sangla.raamatukogu@elva.ee</t>
  </si>
  <si>
    <t>Ivika Palo</t>
  </si>
  <si>
    <t>Väike-Rakke küla, Elva vald, 61119, Tartumaa</t>
  </si>
  <si>
    <t>Rõngu raamatukogu</t>
  </si>
  <si>
    <t>https://elvaraamatukogud.ee/rongu-raamatukogu/kontakt/</t>
  </si>
  <si>
    <t>5669 6142</t>
  </si>
  <si>
    <t>rongu.raamatukogu@elva.ee</t>
  </si>
  <si>
    <t>Laine Meos</t>
  </si>
  <si>
    <t>Rõngu, 61001, Tartumaa</t>
  </si>
  <si>
    <t>Rõngu raamatukogu Hellenurme harukogu</t>
  </si>
  <si>
    <t>https://elvaraamatukogud.ee/rongu-raamatukogu/hellenurme-harukogu/</t>
  </si>
  <si>
    <t>hellenurme.raamatukogu@elva.ee</t>
  </si>
  <si>
    <t>Hellenurme küla 67514 Elva vald</t>
  </si>
  <si>
    <t>Rõngu raamatukogu Koruste harukogu</t>
  </si>
  <si>
    <t>https://elvaraamatukogud.ee/rongu-raamatukogu/koruste-harukogu/</t>
  </si>
  <si>
    <t>5343 7149</t>
  </si>
  <si>
    <t>valguta.raamatukogu@elva.ee; rongu.raamatukogu@elva.ee</t>
  </si>
  <si>
    <t>Maie Loot</t>
  </si>
  <si>
    <t>Koruste küla 61004 Elva vald</t>
  </si>
  <si>
    <t>Rõngu raamatukogu Teedla harukogu</t>
  </si>
  <si>
    <t>https://elvaraamatukogud.ee/rongu-raamatukogu/teedla-harukogu/</t>
  </si>
  <si>
    <t>551 7429</t>
  </si>
  <si>
    <t>teedla.raamatukogu@elva.ee</t>
  </si>
  <si>
    <t>Piret Terve</t>
  </si>
  <si>
    <t>Uus 4-1 Teedla küla 61014 Elva vald</t>
  </si>
  <si>
    <t>Rõngu raamatukogu Valguta harukogu</t>
  </si>
  <si>
    <t>https://elvaraamatukogud.ee/rongu-raamatukogu/valguta-harukogu/</t>
  </si>
  <si>
    <t>valguta.raamatukogu@elva.ee</t>
  </si>
  <si>
    <t>Lapetukme küla 61008 Rõngu vald</t>
  </si>
  <si>
    <t>Elva Spordihoone</t>
  </si>
  <si>
    <t>https://elvasport.ee/spordihoone/tutvustus/</t>
  </si>
  <si>
    <t>sport@elva.ee</t>
  </si>
  <si>
    <t>Tartu mnt 3/1, 61505, Elva</t>
  </si>
  <si>
    <t>Annikoru jalgpalliväljak</t>
  </si>
  <si>
    <t>https://elvasport.ee/spordiobjektid/annikoru-jalgpallivaljak/</t>
  </si>
  <si>
    <t>elva@elva.ee</t>
  </si>
  <si>
    <t>Annikoru park, Annikoru küla, Elva vald, Tartumaa</t>
  </si>
  <si>
    <t>Elva Gümnaasiumi kunstmuruväljak</t>
  </si>
  <si>
    <t>https://elvasport.ee/spordiobjektid/elva-gumnaasiumi-kunstmuruvaljak/</t>
  </si>
  <si>
    <t>Puiestee tn 2, Elva linn, Elva vald, Tartu maakond</t>
  </si>
  <si>
    <t>Rõngu Keskkooli staadion</t>
  </si>
  <si>
    <t>https://elvasport.ee/spordiobjektid/rongu-keskkooli-staadion-ja-rannavorkpallivaljak/</t>
  </si>
  <si>
    <t>745 9438</t>
  </si>
  <si>
    <t>kool@rongu.edu.ee</t>
  </si>
  <si>
    <t>Puiestee tn 19a, Rõngu alevik, Elva vald, Tartumaa</t>
  </si>
  <si>
    <t>Puhja Kooli staadion</t>
  </si>
  <si>
    <t>https://elvasport.ee/spordiobjektid/puhja-kooli-staadion-ja-pallivaljakud/</t>
  </si>
  <si>
    <t>Viljandi tee 28, Puhja alevik, Elva vald, Tartumaa</t>
  </si>
  <si>
    <t>Palupera Põhikooli miniarena</t>
  </si>
  <si>
    <t>https://elvasport.ee/spordiobjektid/palupera-pohikooli-miniarena/</t>
  </si>
  <si>
    <t>Palupera staadion, Palupera küla, Elva vald, Tartu maakond</t>
  </si>
  <si>
    <t>Elva linna saadion</t>
  </si>
  <si>
    <t>https://elvasport.ee/spordiobjektid/elva-linna-staadion/</t>
  </si>
  <si>
    <t>Tartu mnt 12, Elva linn, Elva vald, Tartu</t>
  </si>
  <si>
    <t>Rannu Kooli staadion</t>
  </si>
  <si>
    <t>https://elvasport.ee/spordiobjektid/rannu-kooli-staadion/</t>
  </si>
  <si>
    <t>Elva tee 6, Rannu alevik, Elva vald, Tartumaa</t>
  </si>
  <si>
    <t>Avatud Rõngu Noortekeskus</t>
  </si>
  <si>
    <t>https://noored.elva.ee/?page_id=33</t>
  </si>
  <si>
    <t>info.kvaliteetaeg@gmail.com</t>
  </si>
  <si>
    <t>Kristjan Moorast</t>
  </si>
  <si>
    <t>Valga mnt 12, 61001, Rõngu</t>
  </si>
  <si>
    <t>Elva Avatud Noortekeskus</t>
  </si>
  <si>
    <t>https://noored.elva.ee/?page_id=27</t>
  </si>
  <si>
    <t>5366 3068</t>
  </si>
  <si>
    <t>noortekeskus@elva.ee</t>
  </si>
  <si>
    <t>Hanna Laius</t>
  </si>
  <si>
    <t>Pikk tn 8, 61505 , Elva</t>
  </si>
  <si>
    <t>Hellenurme Avatud Noortekeskus</t>
  </si>
  <si>
    <t>https://noored.elva.ee/?page_id=29</t>
  </si>
  <si>
    <t>vanaisak.mariliis@gmail.com</t>
  </si>
  <si>
    <t>Hellenurme küla, Elva vald, Tartu maakond</t>
  </si>
  <si>
    <t>Puhja Noortekeskus</t>
  </si>
  <si>
    <t>https://noored.elva.ee/?page_id=37</t>
  </si>
  <si>
    <t>janno.reinomagi@puhja.edu.ee</t>
  </si>
  <si>
    <t>Viljandi tee 28/2, Puhja alevik</t>
  </si>
  <si>
    <t>Rannu Pere- ja noortekeskus</t>
  </si>
  <si>
    <t>https://noored.elva.ee/?page_id=35</t>
  </si>
  <si>
    <t>silver.soukand@elva.ee</t>
  </si>
  <si>
    <t>Silver Sõukand</t>
  </si>
  <si>
    <t>Barbara külakeskus, II korrus, Rannu alevik</t>
  </si>
  <si>
    <t>Ulila keskuse noortetuba</t>
  </si>
  <si>
    <t>https://noored.elva.ee/?page_id=83</t>
  </si>
  <si>
    <t>ulila.keskus@gmail.com</t>
  </si>
  <si>
    <t>Kristina Ermel</t>
  </si>
  <si>
    <t>Pargi 1, Ulila, Elva vald, Tartu maakond</t>
  </si>
  <si>
    <t>Uula huvikeskus</t>
  </si>
  <si>
    <t>https://noored.elva.ee/?page_id=393</t>
  </si>
  <si>
    <t>5690 4718</t>
  </si>
  <si>
    <t>airi.mahla@elva.ee</t>
  </si>
  <si>
    <t>Airi Mahla</t>
  </si>
  <si>
    <t>Keskuse tee 4, Rämsi küla, Elva vald</t>
  </si>
  <si>
    <t>https://noored.elva.ee/?page_id=39</t>
  </si>
  <si>
    <t>501 9605</t>
  </si>
  <si>
    <t>Egle Haljassaar</t>
  </si>
  <si>
    <t>Voika 2, 61601, Nõo</t>
  </si>
  <si>
    <t>Hellenurme Veskimuuseum</t>
  </si>
  <si>
    <t>https://veskimuuseum.ee/</t>
  </si>
  <si>
    <t>52 05 142</t>
  </si>
  <si>
    <t>mae@veskimuuseum.ee</t>
  </si>
  <si>
    <t>Mae Juske</t>
  </si>
  <si>
    <t>Hellenurme küla, Elva vald, 67514, Tartumaa</t>
  </si>
  <si>
    <t>Järvemuuseum</t>
  </si>
  <si>
    <t>https://kalala.emu.ee/kalala/</t>
  </si>
  <si>
    <t>56 566 926</t>
  </si>
  <si>
    <t>heli-anneli.villako@emu.ee</t>
  </si>
  <si>
    <t>Limnoloogia tee 1, Vehendi, 61117, Elva vald</t>
  </si>
  <si>
    <t>Pillimuuseum</t>
  </si>
  <si>
    <t>https://pillimuuseum.weebly.com/</t>
  </si>
  <si>
    <t>pillimuuseum@gmail.com</t>
  </si>
  <si>
    <t>Valga mnt. 1, Rõngu alevik</t>
  </si>
  <si>
    <t>MTÜ Uula külaselts</t>
  </si>
  <si>
    <t>https://www.facebook.com/uulakylaselts/</t>
  </si>
  <si>
    <t>5559 9608</t>
  </si>
  <si>
    <t>Rämsi küla, Elva vald</t>
  </si>
  <si>
    <t>EELK Rõngu Mihkli kogudus</t>
  </si>
  <si>
    <t>http://www.rongukirik.ee/</t>
  </si>
  <si>
    <t>56 213 450</t>
  </si>
  <si>
    <t>rongukirik@gmail.com</t>
  </si>
  <si>
    <t>Vallo Ehasalu</t>
  </si>
  <si>
    <t>Tehase tn 1, Rõngu alev (61001), Tartumaa.</t>
  </si>
  <si>
    <t>EELK Puhja kogudus</t>
  </si>
  <si>
    <t>https://puhja.eelk.ee/kontakt/</t>
  </si>
  <si>
    <t>5556 3876</t>
  </si>
  <si>
    <t>tiit.kuusemaa@eelk.ee</t>
  </si>
  <si>
    <t>Tiit Kuusemaa</t>
  </si>
  <si>
    <t>Elva tee 6, 61301 Puhja, Tartumaa</t>
  </si>
  <si>
    <t>EELK Rannu Püha Martini kogudus</t>
  </si>
  <si>
    <t>https://rannu.eelk.ee/</t>
  </si>
  <si>
    <t>553 4529</t>
  </si>
  <si>
    <t>rannu@eelk.ee</t>
  </si>
  <si>
    <t>Timo Švedko</t>
  </si>
  <si>
    <t>Neemisküla, 61109 Elva vald, Tartumaa</t>
  </si>
  <si>
    <t>EELK Elva kogudus</t>
  </si>
  <si>
    <t>https://eelk.ee/elva</t>
  </si>
  <si>
    <t>503 1474</t>
  </si>
  <si>
    <t>vallo.ehasalu@eelk.ee</t>
  </si>
  <si>
    <t>Pargi 8, 61503 Elva</t>
  </si>
  <si>
    <t>Uusapostlik Kirik Elva kogudus</t>
  </si>
  <si>
    <t>https://uke.ee/kogudused/elva</t>
  </si>
  <si>
    <t>5333 0116</t>
  </si>
  <si>
    <t>andres.aan@uke.ee</t>
  </si>
  <si>
    <t>Andres Aan</t>
  </si>
  <si>
    <t>Tartu mnt. 15, 61506 Elva</t>
  </si>
  <si>
    <t>Elva Baptistikogudus</t>
  </si>
  <si>
    <t>http://www.elvakogudus.ee/</t>
  </si>
  <si>
    <t>5561 3311</t>
  </si>
  <si>
    <t>margus.kask@kogudused.ee</t>
  </si>
  <si>
    <t>Margus Kask</t>
  </si>
  <si>
    <t>Räpina Koduloo- ja Aiandusmuuseum</t>
  </si>
  <si>
    <t>Räpina vald</t>
  </si>
  <si>
    <t>muuseum.rapina.ee</t>
  </si>
  <si>
    <t>799 9545</t>
  </si>
  <si>
    <t>muuseum@rapina.ee</t>
  </si>
  <si>
    <t>Toivo Lees</t>
  </si>
  <si>
    <t>Aadress: Pargi 28, 64505 Räpina</t>
  </si>
  <si>
    <t>Süvahavva Loodustalu OÜ</t>
  </si>
  <si>
    <t>5345 9632</t>
  </si>
  <si>
    <t>syvahavva.loodustalu@mail.ee</t>
  </si>
  <si>
    <t>Reet Pettai</t>
  </si>
  <si>
    <t>Pusa-Mihkli talu, Süvahavva küla, Räpina vald 64220 Põlvamaa</t>
  </si>
  <si>
    <t>Räpina Valla Kultuurikeskuses kino</t>
  </si>
  <si>
    <t>https://kultuur.rapina.ee/</t>
  </si>
  <si>
    <t>517 6288</t>
  </si>
  <si>
    <t>marge.trumsi@rapina.ee</t>
  </si>
  <si>
    <t>Marge Trumsi, juhataja</t>
  </si>
  <si>
    <t>Aianduse 6 Räpina Põlvamaa 64 505</t>
  </si>
  <si>
    <t>Lava laius: 11,6m, täislaius 17m, sügavus eesriideni 1,6 m, kõrgus 5,7m</t>
  </si>
  <si>
    <t>SA Veriora Noortekas</t>
  </si>
  <si>
    <t>https://noored.rapina.ee/noortekeskused/veriora-noortekas/</t>
  </si>
  <si>
    <t>5569 9330</t>
  </si>
  <si>
    <t>mirjam.ojasaar@rapina.ee</t>
  </si>
  <si>
    <t>Mirjam Ojasaar</t>
  </si>
  <si>
    <t>Uus 1, Veriora alevik, 64232 Räpina vald, Põlva maakond</t>
  </si>
  <si>
    <t>3x2</t>
  </si>
  <si>
    <t>Jah, suur väliala.</t>
  </si>
  <si>
    <t>Räpina Noortekeskus</t>
  </si>
  <si>
    <t>noored.rapina.ee</t>
  </si>
  <si>
    <t>5191 2601</t>
  </si>
  <si>
    <t>kristel.zovo@rapina.ee</t>
  </si>
  <si>
    <t>Kristel Zovo</t>
  </si>
  <si>
    <t>Kooli 5, Räpina I korrus</t>
  </si>
  <si>
    <t>MTÜ Mehikoorma Avatud Noorteklubi</t>
  </si>
  <si>
    <t xml:space="preserve">FB- Mehikoorma Avatud Noorteklubi   </t>
  </si>
  <si>
    <t>514 5812</t>
  </si>
  <si>
    <t>inga.rozova@rapina.ee</t>
  </si>
  <si>
    <t>Inga Rõžova, Merike Paap</t>
  </si>
  <si>
    <t>Kesk 20, Mehikoorma alevik, 62511 Räpina vald, Põlva maakond</t>
  </si>
  <si>
    <t>Võõpsu raamatukogu</t>
  </si>
  <si>
    <t>795 9435</t>
  </si>
  <si>
    <t>aili.jurmann@rapina.ee</t>
  </si>
  <si>
    <t>Aili Jurmann</t>
  </si>
  <si>
    <t>Räpina mnt 24, Võõpsu alevik, Räpina vald, Põlva maakond 64401</t>
  </si>
  <si>
    <t>Veriora raamatukogu</t>
  </si>
  <si>
    <t>795 8367</t>
  </si>
  <si>
    <t>ilona.oeselg@rapina.ee</t>
  </si>
  <si>
    <t>Ilona Oeselg-Tigasing</t>
  </si>
  <si>
    <t>Räpina mnt 2, Veriora alevik, Räpina vald, Põlva maakond 64232</t>
  </si>
  <si>
    <t>Ruusa raamatukogu</t>
  </si>
  <si>
    <t>795 2316</t>
  </si>
  <si>
    <t>elve.vals@rapina.ee</t>
  </si>
  <si>
    <t>Elve Vals</t>
  </si>
  <si>
    <t>Mõisavahe tee 19, Ruusa küla, Räpina vald, Põlva maakond 64403</t>
  </si>
  <si>
    <t>Räpina valla Keskraamatukogu</t>
  </si>
  <si>
    <t>raamat.rapina.ee</t>
  </si>
  <si>
    <t>5216 942</t>
  </si>
  <si>
    <t>ester.nagland@rapina.ee</t>
  </si>
  <si>
    <t>Direktor Ester Nagland</t>
  </si>
  <si>
    <t>Kooli 5, Räpina linn, Räpina vald, Põlva maakond 64504</t>
  </si>
  <si>
    <t>Mehikoorma raamatukogu</t>
  </si>
  <si>
    <t>741 9188</t>
  </si>
  <si>
    <t>anne.konsap@rapina.ee</t>
  </si>
  <si>
    <t>Anne Konsap</t>
  </si>
  <si>
    <t>Kooli 2, Mehikoorma alevik, Räpina vald Põlva maakond 62501</t>
  </si>
  <si>
    <t>Linte raamatukogu</t>
  </si>
  <si>
    <t>795 1418</t>
  </si>
  <si>
    <t>linteraamat@rapina.ee</t>
  </si>
  <si>
    <t>Jane Arusoo</t>
  </si>
  <si>
    <t>Tammistu tee 20, Linte küla, Räpina vald, Põlva maakond 64402</t>
  </si>
  <si>
    <t>Leevi raamatukogu</t>
  </si>
  <si>
    <t>5668 4525</t>
  </si>
  <si>
    <t>kaili.ratsep@rapina.ee</t>
  </si>
  <si>
    <t>Kaili Rätsep</t>
  </si>
  <si>
    <t>Kooli 10, Leevi küla, Räpina vald, Põlva maakond 64231</t>
  </si>
  <si>
    <t>Leevaku raamatukogu</t>
  </si>
  <si>
    <t>795 2238</t>
  </si>
  <si>
    <t>karmen.pedosk@rapina.ee</t>
  </si>
  <si>
    <t>Karmen Pedosk</t>
  </si>
  <si>
    <t>Leevaku küla, Räpina vald, Põlva maakond 64404</t>
  </si>
  <si>
    <t>Räpina Loomemaja</t>
  </si>
  <si>
    <t>http://ariabi.ee/</t>
  </si>
  <si>
    <t>521 8202</t>
  </si>
  <si>
    <t>leo@ariabi.ee</t>
  </si>
  <si>
    <t>Juhataja Leo Kütt</t>
  </si>
  <si>
    <t>Pargi 31 Räpina, 64505 Põlvamaa;</t>
  </si>
  <si>
    <t>60 inimest</t>
  </si>
  <si>
    <t>ei ole lava</t>
  </si>
  <si>
    <t>saalis, mujal majas</t>
  </si>
  <si>
    <t>ei</t>
  </si>
  <si>
    <t>maja ees parkla</t>
  </si>
  <si>
    <t>Räpina Spordikool</t>
  </si>
  <si>
    <t>spordikool.rapina.ee</t>
  </si>
  <si>
    <t>5305 5141</t>
  </si>
  <si>
    <t>spordikool@rapina.ee</t>
  </si>
  <si>
    <t>Ants Järv</t>
  </si>
  <si>
    <t>Kooli, 5 Räpina 64504</t>
  </si>
  <si>
    <t>Leevaku spordiväljak</t>
  </si>
  <si>
    <t>Spordiväljak</t>
  </si>
  <si>
    <t>vald@rapina.ee</t>
  </si>
  <si>
    <t>Külakeskuse, Leevaku küla, Räpina vald, Põlva maakond</t>
  </si>
  <si>
    <t>20 kohta õpperuumides</t>
  </si>
  <si>
    <t>Avalik wifi</t>
  </si>
  <si>
    <t>5 parkimiskohta</t>
  </si>
  <si>
    <t>Korvpalliplats ja rannavõrkpalliväljak.</t>
  </si>
  <si>
    <t>Leevi rahvamaja-spordisaal</t>
  </si>
  <si>
    <t>anu.luiga@rapina.ee</t>
  </si>
  <si>
    <t>Kooli tn 8, Leevi küla, Räpina vald, Põlva maakond</t>
  </si>
  <si>
    <t>4 parkimiskohta</t>
  </si>
  <si>
    <t>Mehikoorma Põhikooli spordisaal</t>
  </si>
  <si>
    <t>mehikoorma.pk@mail.ee</t>
  </si>
  <si>
    <t>Kooli tn 2, Mehikoorma alevik, Räpina vald, Põlva maakond</t>
  </si>
  <si>
    <t>20 parkimiskohta</t>
  </si>
  <si>
    <t>Mehikoorma rannavõrkpalliplats ja jõulinnak</t>
  </si>
  <si>
    <t>Järve tn 2a, Mehikoorma alevik, Räpina vald, Põlva maakond</t>
  </si>
  <si>
    <t>Rannavõrkpalliplats, jõulinnak</t>
  </si>
  <si>
    <t>Naha rannavõrkpalliväljak</t>
  </si>
  <si>
    <t>Külaplatsi, Naha küla, Räpina vald, Põlva maakond</t>
  </si>
  <si>
    <t>40 kohta õpperuumides</t>
  </si>
  <si>
    <t>10 parkimiskohta</t>
  </si>
  <si>
    <t>Ruusa jõulinnak</t>
  </si>
  <si>
    <t>Mõisavahe tee 7, Ruusa küla, Räpina vald, Põlva maakond</t>
  </si>
  <si>
    <t>Ruusa Põhikooli jalgpalliväljak</t>
  </si>
  <si>
    <t>ruusakool@rapina.ee</t>
  </si>
  <si>
    <t>avalik wifi</t>
  </si>
  <si>
    <t>Ruusa Põhikooli võimla</t>
  </si>
  <si>
    <t>Räpina Aianduskooli võimla</t>
  </si>
  <si>
    <t>kool@aianduskool.ee</t>
  </si>
  <si>
    <t>Aianduse tn 4, 6, Räpina linn, Räpina vald, Põlva maakond. Pargi põik 2, Räpina linn.</t>
  </si>
  <si>
    <t>Räpina paisjärve rannavõrkpalliplats ja jõulinnak</t>
  </si>
  <si>
    <t>Ausamba park, Räpina linn, Räpina vald, Põlva maakond</t>
  </si>
  <si>
    <t>Räpina puhke- ja virgestusala (discolf, jõulinnak)</t>
  </si>
  <si>
    <t>info@rapinasadam.ee</t>
  </si>
  <si>
    <t>Kaurimäe, Räpina linn, Räpina vald, Põlva maakond</t>
  </si>
  <si>
    <t>Räpina Skatepark</t>
  </si>
  <si>
    <t>info@yg.rapina.ee</t>
  </si>
  <si>
    <t>Kooli tn 5, Räpina linn, Räpina vald, Põlva maakond</t>
  </si>
  <si>
    <t>50 kohta õpperuumis</t>
  </si>
  <si>
    <t>Skatepark mõõtmetega 28x14 m.</t>
  </si>
  <si>
    <t>Räpina staadion</t>
  </si>
  <si>
    <t>http://www.yg.rapina.ee</t>
  </si>
  <si>
    <t>Kastani tn 19, Räpina linn, Räpina vald, Põlva maakond</t>
  </si>
  <si>
    <t>Kergejõustiku- ja jalgpallistaadion (400m telliskivipurukattega ringrada, kaugushüppe-, tEivashüppe-, kõrgushüppe-, odaviske-, kuulitõukepaigad, jalgpalliväljak).</t>
  </si>
  <si>
    <t>Räpina Ühisgümnaasiumi 4. korruse võimla</t>
  </si>
  <si>
    <t>Räpina Ühisgümnaasiumi korvpalliväljakud</t>
  </si>
  <si>
    <t>Räpina Ühisgümnaasiumi võimla</t>
  </si>
  <si>
    <t>Viluste discgolfi park</t>
  </si>
  <si>
    <t>Viluste põhikool, Viluste küla, Räpina vald, Põlva maakond</t>
  </si>
  <si>
    <t>Viluste Põhikooli võimla</t>
  </si>
  <si>
    <t>8 parkimiskohta</t>
  </si>
  <si>
    <t>Võõpsu rannavõrkpalliväljak</t>
  </si>
  <si>
    <t>Aia tn 1, Võõpsu alevik, Räpina vald, Põlva maakond</t>
  </si>
  <si>
    <t>Prive Vabaaja Keskus</t>
  </si>
  <si>
    <t>https://www.facebook.com/profile.php?id=100057584523781</t>
  </si>
  <si>
    <t>56 205 102</t>
  </si>
  <si>
    <t>Kooli tänav 19 , Räpina, Estonia</t>
  </si>
  <si>
    <t>Räpina Muusikakool</t>
  </si>
  <si>
    <t>https://muusikakool.rapina.ee/</t>
  </si>
  <si>
    <t>516 4848</t>
  </si>
  <si>
    <t>muusikakool@rapina.ee</t>
  </si>
  <si>
    <t>Marika Klimberg-Hyötyläinen</t>
  </si>
  <si>
    <t>Pargi 28, Räpina 64505</t>
  </si>
  <si>
    <t>Räpina Valla Kultuurikeskuse vabaõhu lava</t>
  </si>
  <si>
    <t>Ruusa vabaõhulava</t>
  </si>
  <si>
    <t>EELK Räpina Miikaeli kogudus</t>
  </si>
  <si>
    <t>rapina@eelk.ee</t>
  </si>
  <si>
    <t>URMAS NAGEL, EELK Räpina Miikaeli koguduse õpetaja, Võru praostk</t>
  </si>
  <si>
    <t>Räpina, Tartu mnt 1, 64504,</t>
  </si>
  <si>
    <t>EAÕK Räpina Püha Sakariase ja Püha Eliisabeti Kogudus</t>
  </si>
  <si>
    <t>http://www.eelk.ee/rapina</t>
  </si>
  <si>
    <t>50 83 414</t>
  </si>
  <si>
    <t>rapina@eaok.ee</t>
  </si>
  <si>
    <t>Preester Tihhon Tammes</t>
  </si>
  <si>
    <t>Apteegi 5, Räpina 64505 Põlvamaa</t>
  </si>
  <si>
    <t>MTÜ Külateater Virvendus</t>
  </si>
  <si>
    <t>Põlva vald</t>
  </si>
  <si>
    <t>510 3720</t>
  </si>
  <si>
    <t>ylo@mooste.ee</t>
  </si>
  <si>
    <t>Ülo Needo</t>
  </si>
  <si>
    <t>Põlvamaa, Põlva vald, Mooste alevik, Rasina mnt 12, 64616</t>
  </si>
  <si>
    <t>Seltsing Põlva Linna Harrastusteater</t>
  </si>
  <si>
    <t>Põlva linn</t>
  </si>
  <si>
    <t>5334 0071</t>
  </si>
  <si>
    <t>sirjevill@ gmail.com</t>
  </si>
  <si>
    <t>Tuglase muuseum</t>
  </si>
  <si>
    <t>525 9436</t>
  </si>
  <si>
    <t>ahja.raamat@polvavald.ee</t>
  </si>
  <si>
    <t>Tartu maantee 21 63710 Ahja</t>
  </si>
  <si>
    <t>Põlva kultuuri- ja huvikeskuse kino</t>
  </si>
  <si>
    <t>799 8230</t>
  </si>
  <si>
    <t>kultuur@kultuurikeskus.ee</t>
  </si>
  <si>
    <t>Kesk 15, Põlva, 63308 Põlva maakond</t>
  </si>
  <si>
    <t>II korrus</t>
  </si>
  <si>
    <t>13000x11000mm</t>
  </si>
  <si>
    <t>4500mm</t>
  </si>
  <si>
    <t>Intsikurmu Põlvas</t>
  </si>
  <si>
    <t>Lootvina külakeskus</t>
  </si>
  <si>
    <t>http://www.lootvina.ee/</t>
  </si>
  <si>
    <t>5341 0974</t>
  </si>
  <si>
    <t>lootvina@gmail.com</t>
  </si>
  <si>
    <t>Põlva valla Noorsootöö Keskus</t>
  </si>
  <si>
    <t>https://www.facebook.com/PolvaNTK</t>
  </si>
  <si>
    <t>5324 7788</t>
  </si>
  <si>
    <t>polvantk@polva.ee</t>
  </si>
  <si>
    <t>Kristina Masen</t>
  </si>
  <si>
    <t>Põlva Noortekeskus</t>
  </si>
  <si>
    <t>https://www.facebook.com/PolvaNoortekeskus</t>
  </si>
  <si>
    <t>5615 3229</t>
  </si>
  <si>
    <t>polvantk.polva@polva.ee</t>
  </si>
  <si>
    <t>Ilona Tint</t>
  </si>
  <si>
    <t>Kesk tn 15, Põlva linn, 63308 Põlva vald</t>
  </si>
  <si>
    <t>Ahja Noortekeskus</t>
  </si>
  <si>
    <t>https://www.facebook.com/Ahja-Noortekeskus-178895352201703/</t>
  </si>
  <si>
    <t>511 4382</t>
  </si>
  <si>
    <t>polvantk.ahja@polva.ee</t>
  </si>
  <si>
    <t>Piret Palm</t>
  </si>
  <si>
    <t>Illimari tn 6, Ahja alevik, 63710 Põlva vald</t>
  </si>
  <si>
    <t>Mooste Noortekeskus</t>
  </si>
  <si>
    <t>https://www.facebook.com/moostenoortekeskus</t>
  </si>
  <si>
    <t>5349 5116</t>
  </si>
  <si>
    <t>polvantk.mooste@polva.ee</t>
  </si>
  <si>
    <t>Tiia Johanson</t>
  </si>
  <si>
    <t>Järveotsa tee 5, Mooste alevik, 64616 Põlva vald</t>
  </si>
  <si>
    <t>Vastse-Kuustes noortekeskus</t>
  </si>
  <si>
    <t>https://www.facebook.com/Vastse-Kuuste-Noortekeskus-1914019201994104/</t>
  </si>
  <si>
    <t>5663 6653</t>
  </si>
  <si>
    <t>polvantk.vkuuste@polva.ee</t>
  </si>
  <si>
    <t>Alina Vals</t>
  </si>
  <si>
    <t>Kesktänav 20, Vastse-Kuuste alevik, Põlva vald, 63601 Põlva maakond</t>
  </si>
  <si>
    <t>Tilsi Koostöökeskus</t>
  </si>
  <si>
    <t>5837 2642</t>
  </si>
  <si>
    <t>polvantk.tilsi@polva.ee</t>
  </si>
  <si>
    <t>Ainika Mägi</t>
  </si>
  <si>
    <t>Tilsi Koostöökeskus, Tilsi küla, 63012 Põlva vald</t>
  </si>
  <si>
    <t>Põlva Keskraamatukogu</t>
  </si>
  <si>
    <t>http://www.raamat.polva.ee/</t>
  </si>
  <si>
    <t>799 4823</t>
  </si>
  <si>
    <t>kati@raamat.polva.ee</t>
  </si>
  <si>
    <t>rmtk direktor Kati Maidla</t>
  </si>
  <si>
    <t>Kesk 16, Põlva, 63308</t>
  </si>
  <si>
    <t>avalik internett</t>
  </si>
  <si>
    <t>Ahja haruraamatukogu</t>
  </si>
  <si>
    <t>797 0446</t>
  </si>
  <si>
    <t>ahja@raamat.polva.ee</t>
  </si>
  <si>
    <t>rmtk hoidja Külli Vardja</t>
  </si>
  <si>
    <t>Tartu mnt. 21, Ahja alevik</t>
  </si>
  <si>
    <t>Kauksi haruraamatukogu</t>
  </si>
  <si>
    <t>799 3268</t>
  </si>
  <si>
    <t>kauksi@raamat.polva.ee</t>
  </si>
  <si>
    <t>rmtk hoidja Anni Iljina</t>
  </si>
  <si>
    <t>Kauksi, 64617 Põlva maakond</t>
  </si>
  <si>
    <t>Mooste haruraamatukogu</t>
  </si>
  <si>
    <t>792 5465</t>
  </si>
  <si>
    <t>mooste@raamat.polva.ee</t>
  </si>
  <si>
    <t>rmtk hoidja Kaie Koser</t>
  </si>
  <si>
    <t>Mooste, 64616, Põlva maakond</t>
  </si>
  <si>
    <t>Himmaste haruraamatukogu</t>
  </si>
  <si>
    <t>792 2336</t>
  </si>
  <si>
    <t>himmaste@raamat.polva.ee</t>
  </si>
  <si>
    <t>rmtk hoidja Ene Lugamets</t>
  </si>
  <si>
    <t>Keskuse tee 6, Himmaste küla</t>
  </si>
  <si>
    <t>Kiuma haruraamatukogu</t>
  </si>
  <si>
    <t>797 9023</t>
  </si>
  <si>
    <t>kiuma@raamat.polva.ee</t>
  </si>
  <si>
    <t>rmtk hoidja Maie Nõmm</t>
  </si>
  <si>
    <t>Kiuma, 63208, Põlva maakond</t>
  </si>
  <si>
    <t>Peri haruraamatukogu</t>
  </si>
  <si>
    <t>792 6343</t>
  </si>
  <si>
    <t>peri@raamat.polva.ee</t>
  </si>
  <si>
    <t>rmtk hoidja Margit Õkva</t>
  </si>
  <si>
    <t>Peri, 63218 Põlva maakond</t>
  </si>
  <si>
    <t>Taevaskoja haruraamatukogu</t>
  </si>
  <si>
    <t>799 2042</t>
  </si>
  <si>
    <t>taevaskoja@raamat.polva.ee</t>
  </si>
  <si>
    <t>rmtk hoidja Ivi Raudsepp</t>
  </si>
  <si>
    <t>Taevaskoja, 63229 Põlva maakond</t>
  </si>
  <si>
    <t>Vanaküla haruraamatukogu (Holvandis)</t>
  </si>
  <si>
    <t>792 2882</t>
  </si>
  <si>
    <t>vanakyla@raamat.polva.ee</t>
  </si>
  <si>
    <t>rmtk hoidja Are Nupp</t>
  </si>
  <si>
    <t>Vanaküla, 63207 Põlva maakond</t>
  </si>
  <si>
    <t>Rasina haruraamatukogu</t>
  </si>
  <si>
    <t>792 5052</t>
  </si>
  <si>
    <t>rasina@raamat.polva.ee</t>
  </si>
  <si>
    <t>rmtk hoidja Edda Prükk</t>
  </si>
  <si>
    <t>Rasina, 64618 Põlva maakond</t>
  </si>
  <si>
    <t>Tilsi haruraamatukogu</t>
  </si>
  <si>
    <t>799 9356</t>
  </si>
  <si>
    <t>tilsi@raamat.polva.ee</t>
  </si>
  <si>
    <t>rmtk hoidja Tia Võru</t>
  </si>
  <si>
    <t>Tilsi, 63012 Põlva maakond</t>
  </si>
  <si>
    <t>Vastse-Kuuste haruraamatukogu</t>
  </si>
  <si>
    <t>792 5321</t>
  </si>
  <si>
    <t>vkuuste@raamat.polva.ee</t>
  </si>
  <si>
    <t>rmtk hoidja Mall Kõpp</t>
  </si>
  <si>
    <t>Vastse-Kuuste, 63601 Põlva maakond</t>
  </si>
  <si>
    <t>Ahja Spordihoone</t>
  </si>
  <si>
    <t>http://www.ahjakool.ee</t>
  </si>
  <si>
    <t>direktor@ahjakool.ee</t>
  </si>
  <si>
    <t>Tartu mnt 23, Ahja alevik, Põlva vald, Põlva maakond</t>
  </si>
  <si>
    <t>50 parkimiskohta</t>
  </si>
  <si>
    <t>Ahja staadion</t>
  </si>
  <si>
    <t>info@ahjakool.ee</t>
  </si>
  <si>
    <t>Himmaste spordiväljakud:</t>
  </si>
  <si>
    <t>Himmaste jõulinnak</t>
  </si>
  <si>
    <t>a.vijar@gmail.com</t>
  </si>
  <si>
    <t>Taevaskoja tee 1, Himmaste küla, Põlva vald, Põlva maakond</t>
  </si>
  <si>
    <t>Muu vabas õhus asuv spordiobjekt</t>
  </si>
  <si>
    <t>Himmaste korvpalliväljak</t>
  </si>
  <si>
    <t>himmaste@polvavald.ee</t>
  </si>
  <si>
    <t>Keskuse tee 6/2, Himmaste küla, Põlva vald, Põlva maakond</t>
  </si>
  <si>
    <t>Korvpalliplats</t>
  </si>
  <si>
    <t>Himmaste rannavõrkpalliväljak</t>
  </si>
  <si>
    <t>Rannavõrkpalliplats</t>
  </si>
  <si>
    <t>Himmaste skatepark</t>
  </si>
  <si>
    <t>nfo@polva.ee</t>
  </si>
  <si>
    <t>Skatepark</t>
  </si>
  <si>
    <t>Karilatsi spordiplats</t>
  </si>
  <si>
    <t>asurmaie@gmail.com</t>
  </si>
  <si>
    <t>Metsaveere, Karilatsi küla, Põlva vald, Põlva maakond</t>
  </si>
  <si>
    <t>Jalgpalliväljak ja rannavõrkpalliplats</t>
  </si>
  <si>
    <t>Kauksi Põhikooli staadion ja palliväljak, saal</t>
  </si>
  <si>
    <t>http://www.kauksi.edu.ee/</t>
  </si>
  <si>
    <t>79 93262</t>
  </si>
  <si>
    <t>kauksikool@polva.ee</t>
  </si>
  <si>
    <t>Koolimaja, Kauksi küla, Põlva vald, Põlva maakond</t>
  </si>
  <si>
    <t>Staadion, korvapalli- ja võrkpalliplats.</t>
  </si>
  <si>
    <t>Kõrbjärve-äärne palliväljak</t>
  </si>
  <si>
    <t>Suplusranna, Tilsi küla, Põlva vald, Põlva maakond</t>
  </si>
  <si>
    <t>40 parkimiskohta</t>
  </si>
  <si>
    <t>Kaks rannavõrkpalliväljakut</t>
  </si>
  <si>
    <t>Mammaste küla korvpalliplats</t>
  </si>
  <si>
    <t>797 6370</t>
  </si>
  <si>
    <t>Mammaste tee 5a, Mammaste küla, Põlva vald, Põlva maakond</t>
  </si>
  <si>
    <t>Välispalliväljak</t>
  </si>
  <si>
    <t>Mammaste tervisespordikeskus</t>
  </si>
  <si>
    <t>http://www.tervisespordikeskus.ee</t>
  </si>
  <si>
    <t>info@tervisespordikeskus.ee</t>
  </si>
  <si>
    <t>Orajõe tee 11a, Orajõe küla, Põlva vald, Põlva maakond</t>
  </si>
  <si>
    <t>60 parkimiskohta</t>
  </si>
  <si>
    <t xml:space="preserve">Staadion, jalgpalliväljak </t>
  </si>
  <si>
    <t>Mammaste võrkpalliplats</t>
  </si>
  <si>
    <t>ehakaha@hot.ee</t>
  </si>
  <si>
    <t>Vana-Tartu tee 4, Mammaste küla, Põlva vald, Põlva maakond</t>
  </si>
  <si>
    <t>Mooste korvpalliväljak</t>
  </si>
  <si>
    <t>moostekultuurimaja@polva.ee</t>
  </si>
  <si>
    <t>Lasteaia tee 3, Mooste alevik, Põlva vald, Põlva maakond</t>
  </si>
  <si>
    <t>Valgustatud välisväljak.</t>
  </si>
  <si>
    <t>Mooste Kultuurimaja spordisaalid</t>
  </si>
  <si>
    <t>https://www.facebook.com/MoosteKultuurimaja/</t>
  </si>
  <si>
    <t>Suur õu</t>
  </si>
  <si>
    <t>Peri korvpalliplats</t>
  </si>
  <si>
    <t>peri@polvavald.ee</t>
  </si>
  <si>
    <t>Põlluveere tee 1, Peri küla, Põlva vald, Põlva maakond</t>
  </si>
  <si>
    <t>Väljas</t>
  </si>
  <si>
    <t>30 parkimiskohta</t>
  </si>
  <si>
    <t>AS Avraal võimla</t>
  </si>
  <si>
    <t>avraal@hot.ee</t>
  </si>
  <si>
    <t>Lao tn 5, Põlva linn, Põlva vald, Põlva maakond</t>
  </si>
  <si>
    <t>15 parkimiskohta</t>
  </si>
  <si>
    <t>Jalgpallistaadion Lootospark</t>
  </si>
  <si>
    <t>http://www.fclootos.ee</t>
  </si>
  <si>
    <t>799 3344, +372 505 5713</t>
  </si>
  <si>
    <t>fclootos@hot.ee</t>
  </si>
  <si>
    <t>Kesk tn 25, Põlva linn, Põlva vald, Põlva maakond</t>
  </si>
  <si>
    <t xml:space="preserve"> kergejõustiku- ja jalgpalliväljak</t>
  </si>
  <si>
    <t>Metsa tänava korvpalliväljak</t>
  </si>
  <si>
    <t>799 9484</t>
  </si>
  <si>
    <t>info@polva.ee</t>
  </si>
  <si>
    <t>Põlva vald, Põlva maakond</t>
  </si>
  <si>
    <t>Asfaltkattega normaalmõõtmeline korvpalliväljak</t>
  </si>
  <si>
    <t>Põlva Kooli staadion</t>
  </si>
  <si>
    <t>513 4363</t>
  </si>
  <si>
    <t>koit.nook@polvakool.ee</t>
  </si>
  <si>
    <t>Linda 21 Põlva linn, Põlva vald, Põlva maakond</t>
  </si>
  <si>
    <t>Staadion (250m asfaltkattega jooksurada, murukattega jalgpalliväljak 76x41m), pallimängude väljak (võrkpall, tänavakorvpall)</t>
  </si>
  <si>
    <t>Põlva Kooli staadion, võimla</t>
  </si>
  <si>
    <t>Põlva Mesikäpa Hall</t>
  </si>
  <si>
    <t>Põlva Pihlaka tn 13 spordi- ja mänguväljakud</t>
  </si>
  <si>
    <t>799 9470</t>
  </si>
  <si>
    <t>Pihlaka tn 13, Põlva linn, Põlva vald, Põlva maakond</t>
  </si>
  <si>
    <t>Kunstmurukattega multifunktsionaalne palliväljak (jalgpall, korvpall, käsipall), asfaltkattega korvpalliplats. Kõrval asub Põlva Pihlaka tn 13 võrkpalliväljak.</t>
  </si>
  <si>
    <t>Põlva Pihlaka tn 13 võrkpalliväljak</t>
  </si>
  <si>
    <t>Liivakattega võrkpalliväljak, mõõtudega 24x15 m. Kõrval asuvad Põlva Pihlaka tn 13 spordi- ja mänguväljakud.</t>
  </si>
  <si>
    <t>Põlva ranna jõulinnak</t>
  </si>
  <si>
    <t>Põlva paisjärv, Põlva linn, Põlva vald, Põlva maakond</t>
  </si>
  <si>
    <t>5 treeningmasinat Põlva ranna välitreeningalal</t>
  </si>
  <si>
    <t>Põlva ranna spordiväljak</t>
  </si>
  <si>
    <t>http://www.polva.ee</t>
  </si>
  <si>
    <t>Põlva Savi tn spordiväljak</t>
  </si>
  <si>
    <t>https://www.facebook.com/mty.soprus</t>
  </si>
  <si>
    <t>piret.tammkorv@gmail.com</t>
  </si>
  <si>
    <t>Savi tn 2c, Põlva linn, Põlva vald, Põlva maakond</t>
  </si>
  <si>
    <t>Asfaltkattega korvpalliplats, talvel uisuväljak, jõulinnak ja laste mänguväljak</t>
  </si>
  <si>
    <t>Põlva Skatepark</t>
  </si>
  <si>
    <t>799 9479</t>
  </si>
  <si>
    <t>Friedebert Tuglase tänav T1, Põlva linn, Põlva vald, Põlva maakond</t>
  </si>
  <si>
    <t>Põlva Spordihoone (siselasketiir)</t>
  </si>
  <si>
    <t>spordikool@polva.ee</t>
  </si>
  <si>
    <t>Metsa tn 7, Põlva linn, Põlva vald, Põlva maakond</t>
  </si>
  <si>
    <t>Põlva Spordikeskus</t>
  </si>
  <si>
    <t>https://polvaspordikool.weebly.com/</t>
  </si>
  <si>
    <t>799 4576</t>
  </si>
  <si>
    <t>Uus tn 3, Põlva linn, Põlva vald, Põlva maakond</t>
  </si>
  <si>
    <t>Välialad.</t>
  </si>
  <si>
    <t>Põlva tenniseväljak</t>
  </si>
  <si>
    <t>info@polvatennis.ee</t>
  </si>
  <si>
    <t>Metsa tn 5, Põlva linn, Põlva vald, Põlva maakond</t>
  </si>
  <si>
    <t>2 parkimiskohta</t>
  </si>
  <si>
    <t>Aiaga piiratud tenniseväljakud (2 tennise saviliivakattega tenniseväljakut).</t>
  </si>
  <si>
    <t>Ropka Tenniseklubi tenniseväljak</t>
  </si>
  <si>
    <t>Kooskora, Adiste küla, Põlva vald, Põlva maakond</t>
  </si>
  <si>
    <t>Kunstmurukattega tenniseväljak</t>
  </si>
  <si>
    <t>Rosma motokrossirada</t>
  </si>
  <si>
    <t>Motorada, Rosma küla, Põlva vald, Põlva maakond/Jaanimäe tee L9, Rosma küla, Põlva vald, Põlva maakond</t>
  </si>
  <si>
    <t>Tehnikaspordi püsirada</t>
  </si>
  <si>
    <t>Tilsi Põhikooli võimla</t>
  </si>
  <si>
    <t>http://www.tilsikool.edu.ee</t>
  </si>
  <si>
    <t>tilsikool@polva.ee</t>
  </si>
  <si>
    <t>Tilsi küla, Põlva vald, Põlva maakond</t>
  </si>
  <si>
    <t>Tilsi Staadion</t>
  </si>
  <si>
    <t>sapolvasport@gmail.com</t>
  </si>
  <si>
    <t>Tilsi staadion, Tilsi küla, Põlva vald, Põlva maakond</t>
  </si>
  <si>
    <t>35 parkimiskohta</t>
  </si>
  <si>
    <t>Vastse-Kuuste Kooli staadion</t>
  </si>
  <si>
    <t>5664 8079</t>
  </si>
  <si>
    <t>vkkool@polva.ee</t>
  </si>
  <si>
    <t>Pargi tn 4, Vastse-Kuuste alevik, Põlva vald, Põlva maakond</t>
  </si>
  <si>
    <t>Vastse-Kuuste Kooli võimla</t>
  </si>
  <si>
    <t>http://www.vkuuste.edu.ee/</t>
  </si>
  <si>
    <t>Kesktänav 20, Vastse-Kuuste alevik, Põlva vald, Põlva maakond</t>
  </si>
  <si>
    <t>Põlva Intsikurmu</t>
  </si>
  <si>
    <t>https://intsikurmu.com/</t>
  </si>
  <si>
    <t>525 2462</t>
  </si>
  <si>
    <t>info@kurmu.com</t>
  </si>
  <si>
    <t>Mooste Rahvamuusikakool</t>
  </si>
  <si>
    <t>http://moosterahvamuusikakool.blogspot.com/p/asukoht.html</t>
  </si>
  <si>
    <t>55 31 478</t>
  </si>
  <si>
    <t>muusikakool@rahvamuusika.ee</t>
  </si>
  <si>
    <t>Krista Sildoja</t>
  </si>
  <si>
    <t>Järveotsa tee , Mooste, Põlva vald</t>
  </si>
  <si>
    <t>SA Mooste Mõis</t>
  </si>
  <si>
    <t/>
  </si>
  <si>
    <t>http://www.moostemois.ee/</t>
  </si>
  <si>
    <t>5622 2986</t>
  </si>
  <si>
    <t>info@moostemois.ee</t>
  </si>
  <si>
    <t>Põlva Muusikakool</t>
  </si>
  <si>
    <t>https://muusikakool.polva.ee/</t>
  </si>
  <si>
    <t>524 9569</t>
  </si>
  <si>
    <t>muusikakool@polva.ee</t>
  </si>
  <si>
    <t>Ester Liblik</t>
  </si>
  <si>
    <t>Võru 1, 63308 Põlva</t>
  </si>
  <si>
    <t>Eesti Metodisti Kiriku Kärsa Kogudus</t>
  </si>
  <si>
    <t>516 4208</t>
  </si>
  <si>
    <t>karsa@metodistikirik.ee</t>
  </si>
  <si>
    <t>Rein Laaneser</t>
  </si>
  <si>
    <t>Illimari 2, Ahja alevik, 63710 Põlva maakond</t>
  </si>
  <si>
    <t>Mooste Baptistikogudus</t>
  </si>
  <si>
    <t>5622 0045</t>
  </si>
  <si>
    <t>mooste@ekklesia.ee</t>
  </si>
  <si>
    <t>Pastor Ermo Jürma</t>
  </si>
  <si>
    <t>Mooste, 64605 Põlva maakond</t>
  </si>
  <si>
    <t>EELK Põlva Püha Neitsi Maarja kogudus</t>
  </si>
  <si>
    <t>5303 7728</t>
  </si>
  <si>
    <t>polva@eelk.ee</t>
  </si>
  <si>
    <t>Koguduse õpetaja Toomas Nigola</t>
  </si>
  <si>
    <t>Kesk tn 2, 63308 Põlva, Põlvamaa</t>
  </si>
  <si>
    <t>Põlva Elu Sõna kogudus</t>
  </si>
  <si>
    <t>Enar Jallai</t>
  </si>
  <si>
    <t>Võru tn 23, 63305 Põlva</t>
  </si>
  <si>
    <t>EKOK Põlva Püha Peetri kogudus</t>
  </si>
  <si>
    <t>799 5803</t>
  </si>
  <si>
    <t>peetrikirik@peetrikirik.ee</t>
  </si>
  <si>
    <t>Peapiiskop Benjamin Lillemäe</t>
  </si>
  <si>
    <t>Pärna 5, 63303 Põlva</t>
  </si>
  <si>
    <t>EAÕK Kähri Peaingel Miikaeli kogudus</t>
  </si>
  <si>
    <t>514 0322</t>
  </si>
  <si>
    <t>Praost ülempreester Viktor Ivask</t>
  </si>
  <si>
    <t>Kähri, Tänassilma küla, Põlva vald, 63309 Põlvamaa</t>
  </si>
  <si>
    <t>MTÜ Lutsu Teatri Selts</t>
  </si>
  <si>
    <t>www.lutsuteater.ee</t>
  </si>
  <si>
    <t>5647 4128</t>
  </si>
  <si>
    <t>lutsuteater@gmail.com</t>
  </si>
  <si>
    <t>Janno Rüütle</t>
  </si>
  <si>
    <t>Lutsu küla, Ristikondi, 63210</t>
  </si>
  <si>
    <t>Karilatsi Vabaõhumuuseum</t>
  </si>
  <si>
    <t>Kanepi vald</t>
  </si>
  <si>
    <t>https://karilatsimuuseum.ee/</t>
  </si>
  <si>
    <t>5801 8601</t>
  </si>
  <si>
    <t>polvamaa@wi.ee</t>
  </si>
  <si>
    <t>Margit Pensa</t>
  </si>
  <si>
    <t>Karilatsi küla, Kanepi vald, Põlvamaa 63505</t>
  </si>
  <si>
    <t>Muuseumi territooriumil ja paljudes hoonetes on võimalik liikuda ratastooliga.</t>
  </si>
  <si>
    <t>Hoov ja piknikualad</t>
  </si>
  <si>
    <t>Eesti Maanteemuuseum</t>
  </si>
  <si>
    <t>maanteemuuseum@mnt.ee</t>
  </si>
  <si>
    <t>799 3057 ja 5899 8064</t>
  </si>
  <si>
    <t>maanteemuuseum@transpordiamet.ee</t>
  </si>
  <si>
    <t>Kadri Valner</t>
  </si>
  <si>
    <t>Varbuse, Kanepi vald 63122 Põlva maakond</t>
  </si>
  <si>
    <t>Erinevad näituste saalid</t>
  </si>
  <si>
    <t>kaks parklat: 400-kohaline parkla muuseumi Tartu-poolses otsas; Võru-poolse otsa parklas on kohti 36 autole.</t>
  </si>
  <si>
    <t>Pokumaa</t>
  </si>
  <si>
    <t>https://www.pokumaa.ee/</t>
  </si>
  <si>
    <t>info@pokumaa.ee</t>
  </si>
  <si>
    <t>Tuuli Merimaa</t>
  </si>
  <si>
    <t>Pokumaa asub Võru- ja Põlvamaa piiril Antsla vallas</t>
  </si>
  <si>
    <t>Viia-Jaani labürinditalu</t>
  </si>
  <si>
    <t>http://www.tuletee.ee/labyrint.html</t>
  </si>
  <si>
    <t>513 6470</t>
  </si>
  <si>
    <t>aivar@tuletee.ee</t>
  </si>
  <si>
    <t>Aivar Täpsi</t>
  </si>
  <si>
    <t>Ihamaru külas, Kõlleste vallas, Põlvamaal</t>
  </si>
  <si>
    <t>Maanteemuuseumi autokino</t>
  </si>
  <si>
    <t>5899 8064</t>
  </si>
  <si>
    <t>Põlgaste raamatukogu-külakeskus</t>
  </si>
  <si>
    <t>rina.kruusla@mail.ee</t>
  </si>
  <si>
    <t>Juhataja: Irina Kruusla</t>
  </si>
  <si>
    <t>Saia tee 2 Põlgaste küla Kanepi vald Põlvamaa 63123</t>
  </si>
  <si>
    <t>Kanepi Seltsimaja</t>
  </si>
  <si>
    <t>seltsimaja@kanepi.ee</t>
  </si>
  <si>
    <t>Juhataja: Marju Jalas</t>
  </si>
  <si>
    <t>Weizenbergi 31 Kanepi alevik Kanepi vald 63101 Põlvamaa</t>
  </si>
  <si>
    <t>Erastvere raamatukogu- külakeskus</t>
  </si>
  <si>
    <t>erastvere.raamatukogu@kanepi.ee</t>
  </si>
  <si>
    <t>Juhataja: Tiiu Ziugmann</t>
  </si>
  <si>
    <t>Soodoma Kanepi vald 63124 Põlvamaa</t>
  </si>
  <si>
    <t>Krootuse külakeskus</t>
  </si>
  <si>
    <t>andres@kanepi.ee</t>
  </si>
  <si>
    <t>Juhataja: Andres Määr</t>
  </si>
  <si>
    <t>Pargi 3, Krootuse küla, Kanepi vald, Põlvamaa 63514</t>
  </si>
  <si>
    <t>Saverna külakeskus</t>
  </si>
  <si>
    <t>Kooli tee 5, Saverna küla, Kanepi vald, Põlvamaa 63418</t>
  </si>
  <si>
    <t>Kanepi Avatud Noortekeskus</t>
  </si>
  <si>
    <t>https://www.facebook.com/KanepiANK</t>
  </si>
  <si>
    <t>kanepi.noortekeskus@gmail.com</t>
  </si>
  <si>
    <t>Juhataja: Kadri Kiho</t>
  </si>
  <si>
    <t>Turu 6, Kanepi alevik, Kanepi vald, 63101 Põlvamaa</t>
  </si>
  <si>
    <t>Põlgaste noortetuba</t>
  </si>
  <si>
    <t>https://www.facebook.com/groups/423431791008378</t>
  </si>
  <si>
    <t>Saia tee 2, Põlgaste küla, 63123 Põlvamaa</t>
  </si>
  <si>
    <t>Saverna Avatud Noortekeskus</t>
  </si>
  <si>
    <t>https://www.facebook.com/savernaank</t>
  </si>
  <si>
    <t>saverna@kanepi.ee</t>
  </si>
  <si>
    <t>Juhataja: Kaisa Potter</t>
  </si>
  <si>
    <t>Kooli tee 5, Saverna küla, Kanepi vald, 63418 Põlvamaa</t>
  </si>
  <si>
    <t>Krootuse noortetuba</t>
  </si>
  <si>
    <t>https://www.facebook.com/KollesteANK</t>
  </si>
  <si>
    <t>krootuse@kanepi.ee</t>
  </si>
  <si>
    <t>Pargi 3, Krootuse küla, Kanepi vald, 63514, Põlvamaa</t>
  </si>
  <si>
    <t>Kanepi Rahvaraamatukogu</t>
  </si>
  <si>
    <t>kanepi.raamatukogu@kanepi.ee</t>
  </si>
  <si>
    <t>Direktor: Heli Adamson</t>
  </si>
  <si>
    <t>Krootuse Rahvaraamatukogu</t>
  </si>
  <si>
    <t>krootuse.raamatukogu@kanepi.ee</t>
  </si>
  <si>
    <t>Direktor: Vaike Puuselg</t>
  </si>
  <si>
    <t>Pargi 3, Krootuse küla, Kanepi Vald, 63514 Põlvamaa</t>
  </si>
  <si>
    <t>Karilatsi Rahvaraamatukogu</t>
  </si>
  <si>
    <t>karilatsi.raamatukogu@kanepi.ee</t>
  </si>
  <si>
    <t>Direktor: Kadri Oraka</t>
  </si>
  <si>
    <t>Karilatsi küla, Kanepi vald, 63505 Põlvamaa</t>
  </si>
  <si>
    <t>Saverna Rahvaraamatukogu</t>
  </si>
  <si>
    <t>saverna.raamatukogu@kanepi.ee</t>
  </si>
  <si>
    <t>Direktor: Tiina Hoop</t>
  </si>
  <si>
    <t>Maaritsa Rahvaraamatukogu</t>
  </si>
  <si>
    <t>https://www.facebook.com/maaritsaraamatukogu/</t>
  </si>
  <si>
    <t>maaritsa.raamatukogu@kanepi.ee</t>
  </si>
  <si>
    <t>Direktor Kaja Romulus</t>
  </si>
  <si>
    <t>Kiriku tee 6, Maaritsa küla, Kanepi vald, Põlvamaa 63417</t>
  </si>
  <si>
    <t>Valgjärve Rahvaraamatukogu</t>
  </si>
  <si>
    <t>valgjarve.raamatukogu@kanepi.ee</t>
  </si>
  <si>
    <t>Direktor: Ilse Aigro</t>
  </si>
  <si>
    <t>Valgjärve küla, Kanepi vald, Põlvamaa 63419</t>
  </si>
  <si>
    <t>Kanepi Gümnaasiumi võimla</t>
  </si>
  <si>
    <t>http://www.kanepig.edu.ee/</t>
  </si>
  <si>
    <t>797 6323</t>
  </si>
  <si>
    <t>kool@kanepig.edu.ee</t>
  </si>
  <si>
    <t>Kooli tn 1, Kanepi alevik, Kanepi vald, Põlva maakond</t>
  </si>
  <si>
    <t>Kanepi staadion ja palliplatsid</t>
  </si>
  <si>
    <t>Kooli tn 2a, Kanepi alevik, Kanepi vald, Põlva maakond</t>
  </si>
  <si>
    <t>Staadion, välispordiväljak, tennise - ja võrkpalliväljak, uisuväljak</t>
  </si>
  <si>
    <t>Krootuse discgolfi park</t>
  </si>
  <si>
    <t>vald@kanepi.ee</t>
  </si>
  <si>
    <t>Orupedastiku, Krootuse küla, Kanepi vald, Põlva maakond</t>
  </si>
  <si>
    <t>Park</t>
  </si>
  <si>
    <t>Krootuse Põhikooli staadion</t>
  </si>
  <si>
    <t>kultuur@kanepi.ee</t>
  </si>
  <si>
    <t>Kooli tn 1, Krootuse küla, Kanepi vald, Põlva maakond</t>
  </si>
  <si>
    <t>Krootuse Põhikooli võimla</t>
  </si>
  <si>
    <t>jyri@kanepi.ee</t>
  </si>
  <si>
    <t>Krootuse rannavõrkpalliplats</t>
  </si>
  <si>
    <t>Maaritsa kultuurimaja spordisaalid</t>
  </si>
  <si>
    <t>Kiriku tee 6, Maaritsa küla, Kanepi vald, Põlva maakond</t>
  </si>
  <si>
    <t>Põlgaste jõusaal</t>
  </si>
  <si>
    <t>ainar@sale.ee</t>
  </si>
  <si>
    <t>Saia tee 2, Põlgaste küla, Kanepi vald, Põlva maakond</t>
  </si>
  <si>
    <t>Põlgaste palliväljakud</t>
  </si>
  <si>
    <t>Saverna jõulinnak</t>
  </si>
  <si>
    <t>Saverna Põhikooli staadion ja palliplatsid</t>
  </si>
  <si>
    <t>Erastvere metskond 295, Saverna küla, Kanepi vald, Põlva maakond</t>
  </si>
  <si>
    <t>Saverna Põhikooli võimla</t>
  </si>
  <si>
    <t>Kooli tee 6, Saverna küla, Kanepi vald, Põlva maakond</t>
  </si>
  <si>
    <t>Valgjärve discgolfi park</t>
  </si>
  <si>
    <t>valgjarvekomando@gmail.com</t>
  </si>
  <si>
    <t>Valgjärve Pargi, Valgjärve küla, Kanepi vald, Põlva maakond</t>
  </si>
  <si>
    <t>Valgjärve jõulinnak</t>
  </si>
  <si>
    <t>grete.maesalu@gmail.com</t>
  </si>
  <si>
    <t>Kooli, Valgjärve küla, Kanepi vald, Põlva maakond</t>
  </si>
  <si>
    <t>EELK Kanepi Jaani kogudus</t>
  </si>
  <si>
    <t>kanepi@eelk.ee</t>
  </si>
  <si>
    <t>Koguduseõpetaja: Margit Lail</t>
  </si>
  <si>
    <t>Weizenbergi 2a Kanepi alevik Kanepi vald Põlva maakond</t>
  </si>
  <si>
    <t>Antsla Linnaraamatukogu</t>
  </si>
  <si>
    <t>Antsla vald</t>
  </si>
  <si>
    <t>785 5293</t>
  </si>
  <si>
    <t>mall2003@hot.ee</t>
  </si>
  <si>
    <t>Mall Hüvenen</t>
  </si>
  <si>
    <t>Kreutzwaldi 1, Antsla</t>
  </si>
  <si>
    <t>Linda Raamatukogu</t>
  </si>
  <si>
    <t>785 2775</t>
  </si>
  <si>
    <t>liana.allas@gmail.com</t>
  </si>
  <si>
    <t>Liana Allas</t>
  </si>
  <si>
    <t>Kobela alevik, Antsla vald</t>
  </si>
  <si>
    <t>Tsooru raamatukogu</t>
  </si>
  <si>
    <t>785 2535</t>
  </si>
  <si>
    <t>tsoorurk@gmail.com</t>
  </si>
  <si>
    <t>Ene Sõmer</t>
  </si>
  <si>
    <t>Tsooru küla, Antsla vald</t>
  </si>
  <si>
    <t>Haabsaare raamatukogu</t>
  </si>
  <si>
    <t>785 2441</t>
  </si>
  <si>
    <t>evik206@gmail.com</t>
  </si>
  <si>
    <t>Evi Kallas</t>
  </si>
  <si>
    <t>Haabsaare küla, Antsla vald</t>
  </si>
  <si>
    <t>Kuldre raamatukogu</t>
  </si>
  <si>
    <t>785 7306</t>
  </si>
  <si>
    <t>raamatukogu@kuldre.ee</t>
  </si>
  <si>
    <t>Saima Tell</t>
  </si>
  <si>
    <t>Kuldre küla Antsla vald Võru maakond</t>
  </si>
  <si>
    <t>Urvaste raamatukogu</t>
  </si>
  <si>
    <t>785 2372</t>
  </si>
  <si>
    <t>urvasterk@antsla.ee</t>
  </si>
  <si>
    <t>Urvaste küla Antsla vald</t>
  </si>
  <si>
    <t>Urvaste kirik</t>
  </si>
  <si>
    <t>https://urvaste.eelk.ee/</t>
  </si>
  <si>
    <t>urvaste@eelk.ee</t>
  </si>
  <si>
    <t>Üllar Salumets</t>
  </si>
  <si>
    <t>Kirikuküla, Antsla vald, Võrumaa</t>
  </si>
  <si>
    <t>Kraavi kirik</t>
  </si>
  <si>
    <t>https://www.eoc.ee/kogudus/antsla-kraavi-prohvet-eelija-kogudus</t>
  </si>
  <si>
    <t>372 515 9766</t>
  </si>
  <si>
    <t>peeter@eoc.ee</t>
  </si>
  <si>
    <t>Peeter Uibo</t>
  </si>
  <si>
    <t>Kraavi küla, Antsla vald, Võrumaa</t>
  </si>
  <si>
    <t>Antsla noortekeskus</t>
  </si>
  <si>
    <t>https://www.facebook.com/Antsla-Valla-Noored-156626905057535</t>
  </si>
  <si>
    <t>erikalaats@gmail.com</t>
  </si>
  <si>
    <t>Eerika Lääts</t>
  </si>
  <si>
    <t>Jaani 4, Antsla, Võrumaa</t>
  </si>
  <si>
    <t>Kuldre noortekeskus</t>
  </si>
  <si>
    <t>monika.aas@antsla.ee</t>
  </si>
  <si>
    <t>Monika Aasa</t>
  </si>
  <si>
    <t>Kuldre küla Antsla vald, Võrumaa</t>
  </si>
  <si>
    <t>Linda Rahvamaja</t>
  </si>
  <si>
    <t>https://www.facebook.com/boose.selts</t>
  </si>
  <si>
    <t>boosekad@gmail.com</t>
  </si>
  <si>
    <t>Kobela, Antsla vald, Võrumaa</t>
  </si>
  <si>
    <t>Kaika Seltsimaja</t>
  </si>
  <si>
    <t>https://www.facebook.com/kaikam2e</t>
  </si>
  <si>
    <t>517 2646</t>
  </si>
  <si>
    <t>maja.kaikamae@gmail.com</t>
  </si>
  <si>
    <t>Kaika küla, Antsla vald, Võrumaa</t>
  </si>
  <si>
    <t>Urvaste Seltsimaja</t>
  </si>
  <si>
    <t>http://www.urvasteseltsimaja.ee/</t>
  </si>
  <si>
    <t>372 523 6697</t>
  </si>
  <si>
    <t>uks@urvasteseltsimaja.ee</t>
  </si>
  <si>
    <t>Mariina Kõller</t>
  </si>
  <si>
    <t>Vana-Antsla teatriait</t>
  </si>
  <si>
    <t>https://www.facebook.com/Vana-Antsla-Teatriait-1237354036291423</t>
  </si>
  <si>
    <t>512 7986</t>
  </si>
  <si>
    <t>helger.kavant@gmail.com</t>
  </si>
  <si>
    <t>Helger Kavant</t>
  </si>
  <si>
    <t>Vana-Antsla, Antsla vald, Võrumaa</t>
  </si>
  <si>
    <t>Villikese Teatritalu</t>
  </si>
  <si>
    <t>https://www.facebook.com/urvaste.villike</t>
  </si>
  <si>
    <t>Villike talu, Lümatu küla, Antsla vald, Võrumaa</t>
  </si>
  <si>
    <t>Antsla jahikeskus</t>
  </si>
  <si>
    <t>https://www.facebook.com/Antsla-Jahikeskus-329399707408140</t>
  </si>
  <si>
    <t>527 2282</t>
  </si>
  <si>
    <t>antsla.jahikeskus@gmail.com</t>
  </si>
  <si>
    <t>Kollino, Antsla vald, Võrumaa</t>
  </si>
  <si>
    <t>Antsla Kultuuri ja Spordikeskus</t>
  </si>
  <si>
    <t>kaspar.kurve@antsla.ee</t>
  </si>
  <si>
    <t>Kaspar Kurve</t>
  </si>
  <si>
    <t>Uue-Antsla Rahvamaja</t>
  </si>
  <si>
    <t>uueantsla@antsla.ee</t>
  </si>
  <si>
    <t>Kati Velner</t>
  </si>
  <si>
    <t>Tsooru Rahvamaja</t>
  </si>
  <si>
    <t>kalle@antsla.ee</t>
  </si>
  <si>
    <t>Kalle Nurk</t>
  </si>
  <si>
    <t>Obinitsa muuseum</t>
  </si>
  <si>
    <t>Setomaa vald</t>
  </si>
  <si>
    <t>https://www.setomuuseum.ee/</t>
  </si>
  <si>
    <t>5622 7732</t>
  </si>
  <si>
    <t>obinitsa@setomuuseum.ee</t>
  </si>
  <si>
    <t>Muuseumi 10, Obinitsa küla</t>
  </si>
  <si>
    <t>Saatse Seto muuseum</t>
  </si>
  <si>
    <t>5342 1428</t>
  </si>
  <si>
    <t>saatse@setomuuseum.ee</t>
  </si>
  <si>
    <t>Samarina küla, Setomaa vald</t>
  </si>
  <si>
    <t>Värska talumuuseum</t>
  </si>
  <si>
    <t>505 4673</t>
  </si>
  <si>
    <t>verskatalu@setomuuseum.ee</t>
  </si>
  <si>
    <t>Pikk 56, Värska</t>
  </si>
  <si>
    <t>Kindral Reegi maja</t>
  </si>
  <si>
    <t>5887 8676</t>
  </si>
  <si>
    <t>reegimaja@setomuuseum.ee</t>
  </si>
  <si>
    <t>Pikk 29, Värska</t>
  </si>
  <si>
    <t>Seto tsäimaja</t>
  </si>
  <si>
    <t>5622 0166</t>
  </si>
  <si>
    <t>tsaimaja@setomuuseum.ee</t>
  </si>
  <si>
    <t>Pikk 56, Värska, 64001</t>
  </si>
  <si>
    <t>Värska Muusikakool</t>
  </si>
  <si>
    <t>http://vana.verska.ee/muusikakool/</t>
  </si>
  <si>
    <t>521 3309</t>
  </si>
  <si>
    <t>varska.muusikakool@setomaa.ee</t>
  </si>
  <si>
    <t>Pikk 13, Värska, Setomaa vald, Võru maakond 64001</t>
  </si>
  <si>
    <t>Värska raamatukogu</t>
  </si>
  <si>
    <t>5343 6664</t>
  </si>
  <si>
    <t>varska.raamatukogu@setomaa.ee</t>
  </si>
  <si>
    <t>Jete Toomas</t>
  </si>
  <si>
    <t>Värska, Lasteaia 2, Setomaa vald, Võru maakond, 6400</t>
  </si>
  <si>
    <t>Saatse raamatukogu</t>
  </si>
  <si>
    <t>796 4335</t>
  </si>
  <si>
    <t>saatse.raamatukogu@setomaa.ee</t>
  </si>
  <si>
    <t>Linda Allas</t>
  </si>
  <si>
    <t>Saatse küla, Setomaa vald, Võru maakond</t>
  </si>
  <si>
    <t>Meremäe raamatukogu</t>
  </si>
  <si>
    <t>setomaa vald</t>
  </si>
  <si>
    <t>5391 6949</t>
  </si>
  <si>
    <t>meremae.raamatukogu@setomaa.ee</t>
  </si>
  <si>
    <t>Anni Lahe</t>
  </si>
  <si>
    <t>Meremäe küla, Setomaa vald, Võru maakond, 65302</t>
  </si>
  <si>
    <t>Obinitsa raamatukogu</t>
  </si>
  <si>
    <t>785 4140</t>
  </si>
  <si>
    <t>obinitsa.raamatukogu@setomaa.ee</t>
  </si>
  <si>
    <t>Tiina Lillmaa</t>
  </si>
  <si>
    <t>Obinitsa küla, Setomaa vald, Võru maakond, 65301</t>
  </si>
  <si>
    <t>Mikitamäe raamatukogu</t>
  </si>
  <si>
    <t>795 4335</t>
  </si>
  <si>
    <t>mikitamae.raamatukogu@setomaa.ee</t>
  </si>
  <si>
    <t>Kaiu Suurmann</t>
  </si>
  <si>
    <t>Mäe tn 27, Mikitamäe küla, Setomaa vald, Võru maakond, 64301</t>
  </si>
  <si>
    <t>Setomaa Noorsootöö Keskus</t>
  </si>
  <si>
    <t>https://www.facebook.com/Setomaa-Noorsoot%C3%B6%C3%B6-1981061721932668/</t>
  </si>
  <si>
    <t>517 1796</t>
  </si>
  <si>
    <t>noorsootoo.keskus@setomaa.ee</t>
  </si>
  <si>
    <t>Triinu Arund</t>
  </si>
  <si>
    <t>Pikk 30, Värska alevik, Võru maakond, 64001</t>
  </si>
  <si>
    <t>Mikitamäe Noortekeskus</t>
  </si>
  <si>
    <t>tislerkristin@gmail.ee</t>
  </si>
  <si>
    <t>Kristin Tisler</t>
  </si>
  <si>
    <t>Meremäe Avatud Noortekeskus</t>
  </si>
  <si>
    <t>p2ivi.kahusk@gmail.com</t>
  </si>
  <si>
    <t>Päivi Kahusk</t>
  </si>
  <si>
    <t>Värska Avatud Noortekeskus</t>
  </si>
  <si>
    <t>triinu.kotov@varskakool.ee</t>
  </si>
  <si>
    <t>Triinu Kotov</t>
  </si>
  <si>
    <t>Värska püha Georgiose (Jüri) kirik</t>
  </si>
  <si>
    <t>https://www.eoc.ee/kogudus/kogudus-2/?v=a57b8491d1d8</t>
  </si>
  <si>
    <t>5660 6703</t>
  </si>
  <si>
    <t>andreas@eoc.ee</t>
  </si>
  <si>
    <t>Andreas Põld</t>
  </si>
  <si>
    <t>Allika 2, Värska</t>
  </si>
  <si>
    <t>Obinitsa Issanda Muutmise kirik</t>
  </si>
  <si>
    <t>https://www.eoc.ee/kogudus/obinitsa-issanda-muutmise-kogudus/?v=a57b8491d1d8</t>
  </si>
  <si>
    <t>532 67546</t>
  </si>
  <si>
    <t>Guuri Piholaan</t>
  </si>
  <si>
    <t>Obinitsa, Setomaa vald</t>
  </si>
  <si>
    <t>Miikse Ristija Johannese kirik</t>
  </si>
  <si>
    <t>https://www.eoc.ee/kogudus/meeksi-ristija-johannese-kogudus/?v=a57b8491d1d8</t>
  </si>
  <si>
    <t>5193 0638</t>
  </si>
  <si>
    <t>Nikolai Prokopjev</t>
  </si>
  <si>
    <t>Miikse, Setomaa vald</t>
  </si>
  <si>
    <t>Luhamaa Pühavaimu kirik</t>
  </si>
  <si>
    <t>https://www.eoc.ee/kogudus/1963-2/?v=a57b8491d1d8</t>
  </si>
  <si>
    <t>537 35553</t>
  </si>
  <si>
    <t>Malle Künnapuu</t>
  </si>
  <si>
    <t>Luhamaa, Setomaa vald</t>
  </si>
  <si>
    <t>Saatse Püha Paraskeva kirik</t>
  </si>
  <si>
    <t>https://www.eoc.ee/kogudus/saatse-puha-paraskeva-kogudus/?v=a57b8491d1d8</t>
  </si>
  <si>
    <t>5370 5848</t>
  </si>
  <si>
    <t>Vassili Linnumets</t>
  </si>
  <si>
    <t>Selise Baptistikogudus</t>
  </si>
  <si>
    <t>https://kogudused.ee/selise-baptistikogudus/</t>
  </si>
  <si>
    <t>529 5806</t>
  </si>
  <si>
    <t>Koit Kask</t>
  </si>
  <si>
    <t>Toodsi, 66299 Võrumaa</t>
  </si>
  <si>
    <t>Taarka Pärimusteater</t>
  </si>
  <si>
    <t>http://taarkateater.ee/</t>
  </si>
  <si>
    <t>kelly@yliopilasteater.ee</t>
  </si>
  <si>
    <t>Kelly Kittus</t>
  </si>
  <si>
    <t>Obinitsa küla, Setomaa vald, Võrumaa</t>
  </si>
  <si>
    <t>Meremäe Kultuuriühing</t>
  </si>
  <si>
    <t>https://kultuuriyhing.ee</t>
  </si>
  <si>
    <t>viivika.helmed@gmail.com</t>
  </si>
  <si>
    <t>Meremäe küla, Setomaa vald, VÕRUMAA</t>
  </si>
  <si>
    <t>Seto Ateljee-Galerii</t>
  </si>
  <si>
    <t>https://www.facebook.com/Seto-Ateljee-Galerii-156533907711645/</t>
  </si>
  <si>
    <t>511 7361</t>
  </si>
  <si>
    <t>evar.riitsaar@gmail.com</t>
  </si>
  <si>
    <t>Evar Riitsaar</t>
  </si>
  <si>
    <t>Sauna, Obinitsa küla, Setomaa vald</t>
  </si>
  <si>
    <t>Treski küün</t>
  </si>
  <si>
    <t>https://www.treskikyyn.ee/et</t>
  </si>
  <si>
    <t>5344 4005</t>
  </si>
  <si>
    <t>treskikyyn@gmail.com</t>
  </si>
  <si>
    <t>Jalmar Vabarna</t>
  </si>
  <si>
    <t>Silla talu Treski küla Setomaa vald Värska, 64026</t>
  </si>
  <si>
    <t>4x6m</t>
  </si>
  <si>
    <t>Parklas põllul, mitusada</t>
  </si>
  <si>
    <t>Suur välilava, mis valmib Juuli 2021, kuulajaid mahub tuhandeid</t>
  </si>
  <si>
    <t>Värska Kultuurimaja</t>
  </si>
  <si>
    <t>529 1619</t>
  </si>
  <si>
    <t>kultuurikeskus@setomaa.ee</t>
  </si>
  <si>
    <t>Jane Vabarna</t>
  </si>
  <si>
    <t>Pikk 12, Värska alevik, Setomaa vald, Võru maakond</t>
  </si>
  <si>
    <t>Obinitsa Külakeskus</t>
  </si>
  <si>
    <t>obinitsa.kulakeskus@setomaa.ee</t>
  </si>
  <si>
    <t>Varje Kuusik</t>
  </si>
  <si>
    <t>Võrumaa Keskraamatukogu</t>
  </si>
  <si>
    <t>Võru linn</t>
  </si>
  <si>
    <t>https://lib.werro.ee/</t>
  </si>
  <si>
    <t>782 0157</t>
  </si>
  <si>
    <t>info@lib.werro.ee</t>
  </si>
  <si>
    <t>Jüri 54, 65604 Võru</t>
  </si>
  <si>
    <t>MTÜ Kriisade Orelid</t>
  </si>
  <si>
    <t>515 6463</t>
  </si>
  <si>
    <t>Andres Mäevere</t>
  </si>
  <si>
    <t>Tartu tn 42, 65609 Võru</t>
  </si>
  <si>
    <t>Dr. Fr. R. Kreutzwaldi Memoriaalmuuseum</t>
  </si>
  <si>
    <t>https://lauluisa.ee/</t>
  </si>
  <si>
    <t>info@lauluisa.ee</t>
  </si>
  <si>
    <t>Kreutzwaldi 31, Võru 65609</t>
  </si>
  <si>
    <t>Vana-Võromaa kultuurikoda</t>
  </si>
  <si>
    <t>https://vorumuuseum.ee/</t>
  </si>
  <si>
    <t>78 244 79</t>
  </si>
  <si>
    <t>info@vorumuuseum.e</t>
  </si>
  <si>
    <t>Katariina allee 11, Võru 65608</t>
  </si>
  <si>
    <t>130m2, 40m2. Siinid ja valgustid</t>
  </si>
  <si>
    <t>Võru Katariina kirik</t>
  </si>
  <si>
    <t>http://www.eelk.ee/voru.katariina/</t>
  </si>
  <si>
    <t>andres1950@hot.ee</t>
  </si>
  <si>
    <t>Jüri 9, 65608 Võru</t>
  </si>
  <si>
    <t>Võru Suurkannatajate Ekaterina Kirik</t>
  </si>
  <si>
    <t>5598 0911</t>
  </si>
  <si>
    <t>stefan.fraiman@eoc.ee</t>
  </si>
  <si>
    <t>Stefan Fraiman</t>
  </si>
  <si>
    <t>Lembitu 1a, 65608 Võru</t>
  </si>
  <si>
    <t>Võru noortekeskus</t>
  </si>
  <si>
    <t>https://vorunoortekeskus.ee/</t>
  </si>
  <si>
    <t>info@vorunoortekeskus.ee</t>
  </si>
  <si>
    <t>Gitlin Kütt</t>
  </si>
  <si>
    <t>Jüri 54, Võru, 65604 Võru maakond</t>
  </si>
  <si>
    <t>Võru spordikeskus</t>
  </si>
  <si>
    <t>http://www.voruspordikeskus.ee/</t>
  </si>
  <si>
    <t>782 8770</t>
  </si>
  <si>
    <t>info@voruspordikeskus.ee</t>
  </si>
  <si>
    <t>Räpina mnt 3a, Võru linn 65606</t>
  </si>
  <si>
    <t>Võru muusikakool</t>
  </si>
  <si>
    <t>https://www.vorumuusikakool.ee/</t>
  </si>
  <si>
    <t>782 1224</t>
  </si>
  <si>
    <t>info@vorumuusikakool.ee</t>
  </si>
  <si>
    <t>Vabaduse 5, 65609 Võru</t>
  </si>
  <si>
    <t>Kultuurimaja Kannel</t>
  </si>
  <si>
    <t>heiki.kelp@vorukannel.ee</t>
  </si>
  <si>
    <t>Heiki Kelp</t>
  </si>
  <si>
    <t>Hanikase raamatukogu</t>
  </si>
  <si>
    <t>Võru vald</t>
  </si>
  <si>
    <t>797 9465</t>
  </si>
  <si>
    <t>hanikase@orava.ee</t>
  </si>
  <si>
    <t>Liina Loosaar</t>
  </si>
  <si>
    <t>Võru vald Hanikase küla 64107</t>
  </si>
  <si>
    <t>Kirepi raamatukogu</t>
  </si>
  <si>
    <t>786 4635</t>
  </si>
  <si>
    <t>kirepiraamat@gmail.com</t>
  </si>
  <si>
    <t>Tuuli Eksin</t>
  </si>
  <si>
    <t>Valgjärve tn 6, Kose alevik, Võru vald, 65522</t>
  </si>
  <si>
    <t>Kääpa raamatukogu</t>
  </si>
  <si>
    <t>782 8152</t>
  </si>
  <si>
    <t>kaaparaamatukogu@voruvald.ee</t>
  </si>
  <si>
    <t>Anneli Lätting</t>
  </si>
  <si>
    <t>Kooli tee 5, Kääpa küla, Võru vald, 65545</t>
  </si>
  <si>
    <t>Lasva raamatukogu</t>
  </si>
  <si>
    <t>735 0875</t>
  </si>
  <si>
    <t>tea@lasva.ee</t>
  </si>
  <si>
    <t>Tea Kallaste</t>
  </si>
  <si>
    <t>Palo Tee 46, Lasva küla, Võru vald, 65401</t>
  </si>
  <si>
    <t>Orava raamatukogu</t>
  </si>
  <si>
    <t>799 9368</t>
  </si>
  <si>
    <t>raamatukogu@orava.ee</t>
  </si>
  <si>
    <t>Pargi tee 2, Orava küla, Võru vald, 64101</t>
  </si>
  <si>
    <t>Osula raamatukogu</t>
  </si>
  <si>
    <t>789 5352</t>
  </si>
  <si>
    <t>ylle.ermel@gmail.com</t>
  </si>
  <si>
    <t>Ülle Ermel</t>
  </si>
  <si>
    <t>Osula kool, Osula, Võru vald, 66602</t>
  </si>
  <si>
    <t>Parksepa raamatukogu</t>
  </si>
  <si>
    <t>785 0515</t>
  </si>
  <si>
    <t>parkseparaamatukogu@voruvald.ee</t>
  </si>
  <si>
    <t>Maire Noorma</t>
  </si>
  <si>
    <t>Kanariku tn 7, Parksepa, Võru vald, 65501</t>
  </si>
  <si>
    <t>Puiga raamatukogu</t>
  </si>
  <si>
    <t>782 8083</t>
  </si>
  <si>
    <t>maire.noor@mail.ee</t>
  </si>
  <si>
    <t>Maire Noormaa</t>
  </si>
  <si>
    <t>Järve 7, Puiga, Võru vald, 65502</t>
  </si>
  <si>
    <t>Sõmerpalu raamatukogu</t>
  </si>
  <si>
    <t>789 6496</t>
  </si>
  <si>
    <t>spalu.rk@mail.ee</t>
  </si>
  <si>
    <t>Külli Ossul</t>
  </si>
  <si>
    <t>Kooli tn 1, Sõmerpalu, Võru vald, 66604</t>
  </si>
  <si>
    <t>Tsolgo raamatukogu</t>
  </si>
  <si>
    <t>787 6432</t>
  </si>
  <si>
    <t>vaike@lasva.ee</t>
  </si>
  <si>
    <t>Vaike Rätsepp</t>
  </si>
  <si>
    <t>Koolimaja, Tsolgo küla, Võru vald, 65552</t>
  </si>
  <si>
    <t>Vana-Vastseliina raamatukogu</t>
  </si>
  <si>
    <t>785 6840</t>
  </si>
  <si>
    <t>tiiupihla@gmail.com</t>
  </si>
  <si>
    <t>Tiiu Pihla</t>
  </si>
  <si>
    <t>Raamatuvara, Vana-Vastseliina, Võru vald, 65254</t>
  </si>
  <si>
    <t>Vastseliina raamatukogu</t>
  </si>
  <si>
    <t>785 1041</t>
  </si>
  <si>
    <t>valiinark@gmail.com</t>
  </si>
  <si>
    <t>Lea Lillemets</t>
  </si>
  <si>
    <t>Võidu tn 38, Vastseliina, Võru vald, 65201</t>
  </si>
  <si>
    <t>Väimela Raamatukogu</t>
  </si>
  <si>
    <t>785 0809</t>
  </si>
  <si>
    <t>ylle.pungits@vkhk.ee</t>
  </si>
  <si>
    <t>Ülle Pungits</t>
  </si>
  <si>
    <t>Väimela, Võru vald, 65566</t>
  </si>
  <si>
    <t>info@vorumuuseum.ee</t>
  </si>
  <si>
    <t>Pindi kirik</t>
  </si>
  <si>
    <t>https://pindi.eelk.ee/</t>
  </si>
  <si>
    <t>pindi@eelk.ee</t>
  </si>
  <si>
    <t>Argo Olesk</t>
  </si>
  <si>
    <t>Lasva, Võru vald, 65405</t>
  </si>
  <si>
    <t>Vastseliina Katariina kirik</t>
  </si>
  <si>
    <t>vastseliina.eelk.ee</t>
  </si>
  <si>
    <t>503 0676</t>
  </si>
  <si>
    <t>vastseliina@eelk.ee</t>
  </si>
  <si>
    <t>Kirikla, Külaoru küla, Võru vald, Võrumaa 65223</t>
  </si>
  <si>
    <t>Heimtali Peetri kirik</t>
  </si>
  <si>
    <t>https://urvaste.eelk.ee/hooned/heimtali-kirik.html</t>
  </si>
  <si>
    <t>511 8271</t>
  </si>
  <si>
    <t>ullar.salumets@eelk.ee</t>
  </si>
  <si>
    <t>Osula küla, Võru vald, Võrumaa</t>
  </si>
  <si>
    <t>Kääpa noortekeskus</t>
  </si>
  <si>
    <t>5342 2390</t>
  </si>
  <si>
    <t>kaapanoortekeskus@voruvald.ee</t>
  </si>
  <si>
    <t>Laura Loikmann</t>
  </si>
  <si>
    <t>Kooli tee 1, Kääpa küla, 65545</t>
  </si>
  <si>
    <t>Orava Noortekeskus</t>
  </si>
  <si>
    <t>524 7986</t>
  </si>
  <si>
    <t>liina@orava.ee</t>
  </si>
  <si>
    <t>Pargi tee 2, Orava, Võru vald, 64101</t>
  </si>
  <si>
    <t>Kose noortetuba</t>
  </si>
  <si>
    <t>5887 9552</t>
  </si>
  <si>
    <t>puigarahvamaja@voruvald.ee</t>
  </si>
  <si>
    <t>Kirsika Kikkas</t>
  </si>
  <si>
    <t>Kose tee 11, Kose, Võru vald, 65502</t>
  </si>
  <si>
    <t>Vastseliina Noortekeskus</t>
  </si>
  <si>
    <t>https://vastseliinanoortekeskus.ee/</t>
  </si>
  <si>
    <t>5919 1992</t>
  </si>
  <si>
    <t>noored@vastseliina.ee</t>
  </si>
  <si>
    <t>Merlis Pajustik</t>
  </si>
  <si>
    <t>Petseri tn 6/1, Vastseliina, Võru vald, 65201</t>
  </si>
  <si>
    <t>Parksepa Noortekeskus</t>
  </si>
  <si>
    <t>521 4846</t>
  </si>
  <si>
    <t>Kaisa Niilo</t>
  </si>
  <si>
    <r>
      <rPr>
        <rFont val="Times New Roman"/>
        <color rgb="FF000000"/>
        <sz val="10.0"/>
      </rPr>
      <t xml:space="preserve"> </t>
    </r>
    <r>
      <rPr>
        <rFont val="Times New Roman"/>
        <color rgb="FF000000"/>
        <sz val="10.0"/>
      </rPr>
      <t>parkseparahvamaja@voruvald.ee</t>
    </r>
  </si>
  <si>
    <t>Kanariku 7, Parksepa, Võru vald, 65501</t>
  </si>
  <si>
    <t>Loosi kandi selts</t>
  </si>
  <si>
    <t>https://www.facebook.com/LoosiKandiSelts</t>
  </si>
  <si>
    <t>5561 0566</t>
  </si>
  <si>
    <t>viivea@hot.ee</t>
  </si>
  <si>
    <t>Viive Tomson</t>
  </si>
  <si>
    <t>Loosi küla, Võru vald</t>
  </si>
  <si>
    <t>August Teppo Lõõtsatalu</t>
  </si>
  <si>
    <t>www.lootsatalu.ee</t>
  </si>
  <si>
    <t>info@lootsatalu.ee</t>
  </si>
  <si>
    <t>Loosu küla, Võru vald</t>
  </si>
  <si>
    <t>Humaliste kultuuri- ja pärimustalu</t>
  </si>
  <si>
    <t>https://humaliste.wordpress.com</t>
  </si>
  <si>
    <t>60 14 119</t>
  </si>
  <si>
    <t>talu@humaliste.ee</t>
  </si>
  <si>
    <t>Siiri Mägi</t>
  </si>
  <si>
    <t>Humaliste talu, Loosi küla, Võru vald</t>
  </si>
  <si>
    <t>Navi seltsimaja</t>
  </si>
  <si>
    <t>https://www.facebook.com/NaviSeltsimaja/</t>
  </si>
  <si>
    <t>553 4073</t>
  </si>
  <si>
    <t>navikylaselts@gmail.com</t>
  </si>
  <si>
    <t>Mai Timmi</t>
  </si>
  <si>
    <t>Navi küla, Võru vald</t>
  </si>
  <si>
    <t>Viitka päevakeskus</t>
  </si>
  <si>
    <t>https://www.facebook.com/groups/471508419546215</t>
  </si>
  <si>
    <t>Tiit Lõhmus</t>
  </si>
  <si>
    <t>Viitka küla, Võru vald</t>
  </si>
  <si>
    <t>Kungla seltsimaja</t>
  </si>
  <si>
    <t>https://mtykungla.weebly.com/</t>
  </si>
  <si>
    <t>52 98 394</t>
  </si>
  <si>
    <t>kunglaselts@gmail.com</t>
  </si>
  <si>
    <t>Ene Andrejev</t>
  </si>
  <si>
    <t>Tagaküla, Võru vald</t>
  </si>
  <si>
    <t>Tsolgo arendusühing</t>
  </si>
  <si>
    <t>https://tsolgo.ee/</t>
  </si>
  <si>
    <t>5669 2718</t>
  </si>
  <si>
    <t>info@tsolgo.ee</t>
  </si>
  <si>
    <t>Katrin Volman</t>
  </si>
  <si>
    <t>Võrumaa, Lasva vald, Tsolgo küla, 65552</t>
  </si>
  <si>
    <t>Roosu talu vabaajakeskus</t>
  </si>
  <si>
    <t>https://www.roosutalu.ee/</t>
  </si>
  <si>
    <t>aivarrosenberg@gmail.com</t>
  </si>
  <si>
    <t>Aivar Rosenberg</t>
  </si>
  <si>
    <t>Roosu talu, Sulbi küla, Võru vald, Võrumaa, 66603</t>
  </si>
  <si>
    <t>100/75/60</t>
  </si>
  <si>
    <t>Sõmerpalu teenuskeskus</t>
  </si>
  <si>
    <t>5345 7805</t>
  </si>
  <si>
    <t>helje31@gmail.com</t>
  </si>
  <si>
    <t>Kooli tn 1, Sõmerpalu alevik, Võru vald, Estonia</t>
  </si>
  <si>
    <t>Vastseliina piiskopilinnus</t>
  </si>
  <si>
    <t>https://vastseliinalinnus.ee/</t>
  </si>
  <si>
    <t>50 96 301</t>
  </si>
  <si>
    <t>linnus@vastseliina.ee</t>
  </si>
  <si>
    <t>Vana-Vastseliina, Võrumaa, 65254</t>
  </si>
  <si>
    <t>Lasva Rahvamaja</t>
  </si>
  <si>
    <t>sirje@lasva.ee</t>
  </si>
  <si>
    <t>Orava Rahvamaja</t>
  </si>
  <si>
    <t>Parksepa rahvamaja</t>
  </si>
  <si>
    <t>parkseparahvamaja@voruvald.ee</t>
  </si>
  <si>
    <t>Puiga Rahvamaja</t>
  </si>
  <si>
    <t>Vastseliina Rahvamaja</t>
  </si>
  <si>
    <t>rahvamaja@vastseliina.ee</t>
  </si>
  <si>
    <t>Rõuge raamatukogu</t>
  </si>
  <si>
    <t>Rõuge vald</t>
  </si>
  <si>
    <t>Sänna mnt 4, Rõuge alevik, Võrumaa, 66201</t>
  </si>
  <si>
    <t>Sänna Kultuurimõis</t>
  </si>
  <si>
    <t>https://www.kultuurimois.ee/</t>
  </si>
  <si>
    <t>555 88 929</t>
  </si>
  <si>
    <t>kadi@kultuurimois.ee</t>
  </si>
  <si>
    <t>Kadi Noor</t>
  </si>
  <si>
    <t>Võrumaa, Rõuge vald, Sänna küla, Sänna mõis 66710</t>
  </si>
  <si>
    <t>Mõniste talurahvamuuseum</t>
  </si>
  <si>
    <t>https://monistemuuseum.ee/</t>
  </si>
  <si>
    <t>5622 8538</t>
  </si>
  <si>
    <t>monistemuuseum@wi.ee</t>
  </si>
  <si>
    <t>Kuutsi küla, Rõuge vald, Võrumaa 66018</t>
  </si>
  <si>
    <t>Rogosi mõis</t>
  </si>
  <si>
    <t>http://www.rogosi.ee/</t>
  </si>
  <si>
    <t>372 505 1547</t>
  </si>
  <si>
    <t>rogosi@rogosi.ee</t>
  </si>
  <si>
    <t>Tammiku tee 5-5, Ruusmäe küla, Rõuge vald, Võrumaa</t>
  </si>
  <si>
    <t>Ööbikuoru hüdritöökoda-muuseum</t>
  </si>
  <si>
    <t>http://www.rougemuuseum.ee/</t>
  </si>
  <si>
    <t>info@rougemuuseum.ee</t>
  </si>
  <si>
    <t>Ööbikuoru tn. 3, Võrumaa</t>
  </si>
  <si>
    <t>Rõuge Maarja kirik</t>
  </si>
  <si>
    <t>http://www.rougemaarja.ee/</t>
  </si>
  <si>
    <t>52 64 037</t>
  </si>
  <si>
    <t>info@rougemaarja.ee</t>
  </si>
  <si>
    <t>Mait Mölder</t>
  </si>
  <si>
    <t>Haanja mnt 10, Rõuge, Võrumaa, 66201</t>
  </si>
  <si>
    <t>Roosa Jakobi kirik</t>
  </si>
  <si>
    <t>roosa@eelk.ee</t>
  </si>
  <si>
    <t>Ritsiku 10, Varstu, 66101 Võru maakond</t>
  </si>
  <si>
    <t>Misso kirik</t>
  </si>
  <si>
    <t>785 1294</t>
  </si>
  <si>
    <t>Vastseliina, 65201 Võru vald, Võru maakond</t>
  </si>
  <si>
    <t>Mõniste-Ritsiku kirik</t>
  </si>
  <si>
    <t>https://varstukirik.planet.ee/et</t>
  </si>
  <si>
    <t>5354 2776</t>
  </si>
  <si>
    <t>timoteus@eoc.ee</t>
  </si>
  <si>
    <t>Timoteos Vassel</t>
  </si>
  <si>
    <t>Varstu alevik 66101</t>
  </si>
  <si>
    <t>Plaani Püha Nikolai Kirik</t>
  </si>
  <si>
    <t>https://www.eoc.ee/kogudus/plaani-puha-nikolai-kirik/?v=a57b8491d1d8</t>
  </si>
  <si>
    <t>Plaani küla 65134</t>
  </si>
  <si>
    <t>Haanja noortemaja</t>
  </si>
  <si>
    <t>https://www.facebook.com/Haanja-noortemaja-107925950587837/</t>
  </si>
  <si>
    <t>565 3707</t>
  </si>
  <si>
    <t>haanjanoored@rauge.ee</t>
  </si>
  <si>
    <t>Mariann Toots</t>
  </si>
  <si>
    <t>Mõniste noortekeskus</t>
  </si>
  <si>
    <t>https://www.facebook.com/monistenoored/</t>
  </si>
  <si>
    <t>583 62074</t>
  </si>
  <si>
    <t>monistenoored@rauge.ee</t>
  </si>
  <si>
    <t>Monika Mägi</t>
  </si>
  <si>
    <t>Mõniste küla, Rõuge vald</t>
  </si>
  <si>
    <t>Varstu noortemaja</t>
  </si>
  <si>
    <t>https://www.facebook.com/VarstuNoortemaja/</t>
  </si>
  <si>
    <t>5462 5997</t>
  </si>
  <si>
    <t>varstunoored@rauge.ee</t>
  </si>
  <si>
    <t>Monika Kuuba</t>
  </si>
  <si>
    <t>Järve 1, Varstu alevik</t>
  </si>
  <si>
    <t>Rõuge Noorsootöö Keksus</t>
  </si>
  <si>
    <t>https://rntk.ee/</t>
  </si>
  <si>
    <t>5340 3309</t>
  </si>
  <si>
    <t>noorsootoojuhataja@rauge.ee</t>
  </si>
  <si>
    <t>Aivi Parv</t>
  </si>
  <si>
    <t>Nursi mnt 5 Rõuge alevik, Rõuge vald Võrumaa 66201</t>
  </si>
  <si>
    <t>Ruusmäe noorteklubi</t>
  </si>
  <si>
    <t>https://www.facebook.com/ruusmaenoortekas/</t>
  </si>
  <si>
    <t>5814 2071</t>
  </si>
  <si>
    <t>ruusmaenoored@rauge.ee</t>
  </si>
  <si>
    <t>Kerli Pärnapuu</t>
  </si>
  <si>
    <t>Tammiku tee 13, Ruusmäe, Rõuge vald</t>
  </si>
  <si>
    <t>Viitina külakeskus ja raamatukogu</t>
  </si>
  <si>
    <t>787 0191</t>
  </si>
  <si>
    <t>viitinark@rauge.ee</t>
  </si>
  <si>
    <t>Aive Leppik</t>
  </si>
  <si>
    <t>Viitina küla, Rõuge vald, Võrumaa, 66711</t>
  </si>
  <si>
    <t>Luutsniku raamatukogu ja külaselts</t>
  </si>
  <si>
    <t>https://www.facebook.com/Luutsniku</t>
  </si>
  <si>
    <t>luutsnikuselts@gmail.com</t>
  </si>
  <si>
    <t>Tiigi, Luutsniku küla, Rõuge vald, Võrumaa 65110</t>
  </si>
  <si>
    <t>Nursi külakeskus ja raamatukogu</t>
  </si>
  <si>
    <t>787 9331</t>
  </si>
  <si>
    <t>nursirk@rauge.ee</t>
  </si>
  <si>
    <t>Sirje Saarniit</t>
  </si>
  <si>
    <t>Nursi küla, Rõuge vald, Võrumaa, 66712</t>
  </si>
  <si>
    <t>MTÜ Filmi Vargamäe</t>
  </si>
  <si>
    <t>http://www.filmivargamae.ee/</t>
  </si>
  <si>
    <t>502 9724</t>
  </si>
  <si>
    <t>ingrid@filmivargamae.ee</t>
  </si>
  <si>
    <t>Ingrid Ulst</t>
  </si>
  <si>
    <t>Tüviste Vastse-Roosa küla Rõuge vald Võrumaa 66013</t>
  </si>
  <si>
    <t>Rõuge kunstikuur</t>
  </si>
  <si>
    <t>https://kunstikuuristoimub.wixsite.com/kunstikuur/kontakt</t>
  </si>
  <si>
    <t>5552 3366</t>
  </si>
  <si>
    <t>kunstikuuristoimub@gmail.com</t>
  </si>
  <si>
    <t>Lya Veski</t>
  </si>
  <si>
    <t>Võru mnt 1, Rõuge vald 66201</t>
  </si>
  <si>
    <t>MTÜ Revolutsioon</t>
  </si>
  <si>
    <t>https://revolutsioon.ee</t>
  </si>
  <si>
    <t>5655 410</t>
  </si>
  <si>
    <t>martin@revolutsioon.ee</t>
  </si>
  <si>
    <t>Martin Mark</t>
  </si>
  <si>
    <t>Haanja mnt 21, Rõuge, 66201</t>
  </si>
  <si>
    <t>Sann ja Süük MTÜ</t>
  </si>
  <si>
    <t>503 2341</t>
  </si>
  <si>
    <t>eda.veeroja@gmail.com</t>
  </si>
  <si>
    <t>Eda Veeroja</t>
  </si>
  <si>
    <t>Suure Munamäe vaatetorn</t>
  </si>
  <si>
    <t>suurmunamagi.ee</t>
  </si>
  <si>
    <t>787 8847</t>
  </si>
  <si>
    <t>munamagi318@gmail.com</t>
  </si>
  <si>
    <t>Haanja, Võrumaa</t>
  </si>
  <si>
    <t>Catlamaja / Rõuge koostöökeskus</t>
  </si>
  <si>
    <t>https://catlamaja.rauge.ee/</t>
  </si>
  <si>
    <t>catlamaja@gmail.com</t>
  </si>
  <si>
    <t>Jaanus Mark</t>
  </si>
  <si>
    <t>Soojuse tn 5 Rõuge alevik</t>
  </si>
  <si>
    <t>Varstu teenuskeskus</t>
  </si>
  <si>
    <t>Haanja Rahvamaja</t>
  </si>
  <si>
    <t>haanjarahvamaja@rauge.ee</t>
  </si>
  <si>
    <t>Misso Rahvamaja</t>
  </si>
  <si>
    <t>missorahvamaja@rauge.ee</t>
  </si>
  <si>
    <t>Mõniste Rahvamaja</t>
  </si>
  <si>
    <t>monisterahvamaja@rauge.ee</t>
  </si>
  <si>
    <t>Ruusmäe Rahvamaja</t>
  </si>
  <si>
    <t>Rõuge Rahvamaja</t>
  </si>
  <si>
    <t>anneli@rauge.ee</t>
  </si>
  <si>
    <t>Varstu Kultuurikeskus</t>
  </si>
  <si>
    <t>varstukultuurikeskus@rauge.ee</t>
  </si>
  <si>
    <t>Valga Kultuuri- ja Huvialakeskus</t>
  </si>
  <si>
    <t>Valga vald</t>
  </si>
  <si>
    <t>http://www.valgakultuurikeskus.ee</t>
  </si>
  <si>
    <t>766 9970</t>
  </si>
  <si>
    <t>info@valgakultuurikeskus.ee</t>
  </si>
  <si>
    <t>Ülle Juht</t>
  </si>
  <si>
    <t>Kesk 1, 68203 Valga</t>
  </si>
  <si>
    <t>teatri/kinosaal lava 139,1 m2, ovaalsaal ava 53,2 m2, aeroobikasaal 64,4 m2</t>
  </si>
  <si>
    <t>8x5, 5x3, 2x1,5</t>
  </si>
  <si>
    <t>Parklas/tänaval</t>
  </si>
  <si>
    <t>Lüllemäe Kultuurimaja</t>
  </si>
  <si>
    <t>https://www.facebook.com/lullemaekultuur</t>
  </si>
  <si>
    <t>5330 1511</t>
  </si>
  <si>
    <t>enekaas@gmail.com</t>
  </si>
  <si>
    <t>Ene Kaas</t>
  </si>
  <si>
    <t>Lüllemäe küla, 68116, Valga vald</t>
  </si>
  <si>
    <t>6 X 12</t>
  </si>
  <si>
    <t>15 A</t>
  </si>
  <si>
    <t>Hargla Maakultuurimaja</t>
  </si>
  <si>
    <t>https://www.kotus.ee/sundmused/</t>
  </si>
  <si>
    <t>527 1452</t>
  </si>
  <si>
    <t>lea.radsin@valga.ee</t>
  </si>
  <si>
    <t>Lea Radsin</t>
  </si>
  <si>
    <t>Hargla küla, 68014, Valga vald</t>
  </si>
  <si>
    <t>Tsirguliina Rahvamaja</t>
  </si>
  <si>
    <t>-</t>
  </si>
  <si>
    <t>529 7963</t>
  </si>
  <si>
    <t>anommik7@gmail.com</t>
  </si>
  <si>
    <t>Arne Nõmmik</t>
  </si>
  <si>
    <t>Tehase 4, Tsirguliina alevik, 68316, Valga vald</t>
  </si>
  <si>
    <t>8 X 12</t>
  </si>
  <si>
    <t>Laatre Vabaajakeskus (Tsirguliina Rahvamaja struktuuriüksus)</t>
  </si>
  <si>
    <t>512 7248</t>
  </si>
  <si>
    <t>riinapill@hotmail.com</t>
  </si>
  <si>
    <t>Riina Pill</t>
  </si>
  <si>
    <t>Pargi 9, Laatre alevik, 68314, Valga vald</t>
  </si>
  <si>
    <t>Õru Kultuurikeskus</t>
  </si>
  <si>
    <t>514 5441</t>
  </si>
  <si>
    <t>almersa@gmail.com</t>
  </si>
  <si>
    <t>Õru alevik, 67101, Valga vald</t>
  </si>
  <si>
    <t>Valga Muuseum</t>
  </si>
  <si>
    <t>https://www.valgamuuseum.ee/kulastajale/</t>
  </si>
  <si>
    <t>766 8861</t>
  </si>
  <si>
    <t>muuseum@valgamuuseum.ee</t>
  </si>
  <si>
    <t>Neeme Punder</t>
  </si>
  <si>
    <t>Vabaduse 8 Valga 68204</t>
  </si>
  <si>
    <t>Valga Keskraamatukogu</t>
  </si>
  <si>
    <t>www.valgark.ee</t>
  </si>
  <si>
    <t>5190 6606</t>
  </si>
  <si>
    <t>info@valgark.ee</t>
  </si>
  <si>
    <t>Triin Rätsepp</t>
  </si>
  <si>
    <t>Aia 12 Valga 68203</t>
  </si>
  <si>
    <t>Hargla raamatukogu</t>
  </si>
  <si>
    <t>530 593 96</t>
  </si>
  <si>
    <t>hargla@valgark.ee</t>
  </si>
  <si>
    <t>Marge Sulev</t>
  </si>
  <si>
    <t>Hargla kool, Hargla küla, 68014 Valga vald</t>
  </si>
  <si>
    <t>Kaagjärve raamatukogu</t>
  </si>
  <si>
    <t>769 5225</t>
  </si>
  <si>
    <t>kaagjarve@valgark.ee</t>
  </si>
  <si>
    <t>Eva Kalu</t>
  </si>
  <si>
    <t>Kaagjärve küla, 68115 Valga vald</t>
  </si>
  <si>
    <t>Koikküla raamatukogu</t>
  </si>
  <si>
    <t>769 8525</t>
  </si>
  <si>
    <t>koikkula@valgark.ee</t>
  </si>
  <si>
    <t>Hille Tammann</t>
  </si>
  <si>
    <t>Lasteaia, Koikküla, 68015 Valga vald</t>
  </si>
  <si>
    <t>Laatre raamatukogu</t>
  </si>
  <si>
    <t>769 6506</t>
  </si>
  <si>
    <t>laatre@valgark.ee</t>
  </si>
  <si>
    <t>Ene Kahro</t>
  </si>
  <si>
    <t>Pargi tn 7/9, Laatre alevik, 68314 Valga vald</t>
  </si>
  <si>
    <t>Lüllemäe raamatukogu</t>
  </si>
  <si>
    <t>769 7292</t>
  </si>
  <si>
    <t>lullemae@valgark.ee</t>
  </si>
  <si>
    <t>Janika Jurs</t>
  </si>
  <si>
    <t>Sooru raamatukogu</t>
  </si>
  <si>
    <t>769 8416</t>
  </si>
  <si>
    <t>sooru@valgark.ee</t>
  </si>
  <si>
    <t>Elin Tamm</t>
  </si>
  <si>
    <t>Kesk tn 7, Sooru küla, 68304 Valga vald</t>
  </si>
  <si>
    <t>Tagula raamatukogu</t>
  </si>
  <si>
    <t>769 6685</t>
  </si>
  <si>
    <t>tagula@valgark.ee</t>
  </si>
  <si>
    <t>Eve Tiisler</t>
  </si>
  <si>
    <t>Antsla tee 4-5, Tagula küla, 68315 Valga vald</t>
  </si>
  <si>
    <t>Tsirguliina raamatukogu</t>
  </si>
  <si>
    <t>http://tsirguraamat.weebly.com/</t>
  </si>
  <si>
    <t>766 6385</t>
  </si>
  <si>
    <t>tsirguliina@valgark.ee</t>
  </si>
  <si>
    <t>Tiia Pernik-Pärnik</t>
  </si>
  <si>
    <t>Nooruse 1, Tsirguliina alevik, 68316, Valga vald</t>
  </si>
  <si>
    <t>Õru raamatukogu</t>
  </si>
  <si>
    <t>769 6839</t>
  </si>
  <si>
    <t>oru@valgark.ee</t>
  </si>
  <si>
    <t>Saima Puusepp</t>
  </si>
  <si>
    <t>Õru alevik 46-1, 67101 Valga vald</t>
  </si>
  <si>
    <t>Valga Püha Vaimu kogudus Rooma-Katoliku Kirik</t>
  </si>
  <si>
    <t>5800 1424</t>
  </si>
  <si>
    <t>markovich.viktor@gmail.com</t>
  </si>
  <si>
    <t>Isa Viktor Marković</t>
  </si>
  <si>
    <t>Maleva 8, 68204, Valga</t>
  </si>
  <si>
    <t>Valga Apostliku Õigeusu Issidori Peakiriku kogudus</t>
  </si>
  <si>
    <t>5344 8404</t>
  </si>
  <si>
    <t>Preester Rostislav Kozakevitš,</t>
  </si>
  <si>
    <t>Pargi 1a, 68203, Valga</t>
  </si>
  <si>
    <t>Valga Vladimiri Jumalaema Eesti Õigeusu kirik</t>
  </si>
  <si>
    <t>www.goldenmary.ee</t>
  </si>
  <si>
    <t>766 3496</t>
  </si>
  <si>
    <t>valgachurch@mail.ru</t>
  </si>
  <si>
    <t>Ülempreester Vladislav Aljošin</t>
  </si>
  <si>
    <t>Tehnika 7, 68205, Valga</t>
  </si>
  <si>
    <t>Valga Nelipühi kirik</t>
  </si>
  <si>
    <t>5695 0442</t>
  </si>
  <si>
    <t>valgakogudus@gmail.com</t>
  </si>
  <si>
    <t>Kati Tamm</t>
  </si>
  <si>
    <t>Kungla 34, 68204, Valga</t>
  </si>
  <si>
    <t>Hargla kirik EELK Hargla kogudus</t>
  </si>
  <si>
    <t>Hargla, 68001 Valga vald</t>
  </si>
  <si>
    <t>Valga Jaani kirik</t>
  </si>
  <si>
    <t>5661 6497</t>
  </si>
  <si>
    <t>valga.peetri-luke@eelk.ee</t>
  </si>
  <si>
    <t>Margus Suvi</t>
  </si>
  <si>
    <t>Kesk 23, 68203 Valga</t>
  </si>
  <si>
    <t>Karula kirik</t>
  </si>
  <si>
    <t>529 6516</t>
  </si>
  <si>
    <t>lullemae@gmail.com</t>
  </si>
  <si>
    <t>Enno Tanilas</t>
  </si>
  <si>
    <t>Lüllemäe, 68116 Valga vald</t>
  </si>
  <si>
    <t>Laatre kirik</t>
  </si>
  <si>
    <t>516 8127</t>
  </si>
  <si>
    <t>ivo.pill@eelk.ee</t>
  </si>
  <si>
    <t>Ivo Pill</t>
  </si>
  <si>
    <t>Tõlliste, 68302 Valga vald</t>
  </si>
  <si>
    <t>Valga Avatud Noortekeskus</t>
  </si>
  <si>
    <t>www.valgaank.ee</t>
  </si>
  <si>
    <t>5332 7629</t>
  </si>
  <si>
    <t>valgaank@gmail.com</t>
  </si>
  <si>
    <t>Maarja Mägi</t>
  </si>
  <si>
    <t>J. Kuperjanovi tn 9, Valga linn, Valga vald, Valga Maakond, 68207</t>
  </si>
  <si>
    <t>Õru noortekeskus</t>
  </si>
  <si>
    <t>767 1153</t>
  </si>
  <si>
    <t>noortepada@gmail.com</t>
  </si>
  <si>
    <t>Inna Tuhkanen</t>
  </si>
  <si>
    <t>Õru Lasteaed-Algkool, Õru, Õruste küla, Valga vald, Valga maakond</t>
  </si>
  <si>
    <t>Tõlliste noortekeskus</t>
  </si>
  <si>
    <t>5669 2337</t>
  </si>
  <si>
    <t>elinanaaris@gmail.com</t>
  </si>
  <si>
    <t>Elina Naaris</t>
  </si>
  <si>
    <t>Tehase 2, Tsirguliina, Valga vald, Valga maakond</t>
  </si>
  <si>
    <t>Taheva noortekeskus</t>
  </si>
  <si>
    <t>5379 4301</t>
  </si>
  <si>
    <t>madli.must@gmail.com</t>
  </si>
  <si>
    <t>Madli Must</t>
  </si>
  <si>
    <t>Hargla Maakultuurimaja, Hargla, Valga vald,</t>
  </si>
  <si>
    <t>Karula noortekeskus</t>
  </si>
  <si>
    <t>https://www.facebook.com/KarulaANK</t>
  </si>
  <si>
    <t>5569 9888</t>
  </si>
  <si>
    <t>siret.korge@gmail.com</t>
  </si>
  <si>
    <t>Siret Kõrge</t>
  </si>
  <si>
    <t>Lüllemäe küla, Valga Vald</t>
  </si>
  <si>
    <t>Valga spordihall</t>
  </si>
  <si>
    <t>https://www.valgasport.ee/sportimisvoimalused/spordihall/</t>
  </si>
  <si>
    <t>766 1725</t>
  </si>
  <si>
    <t>info@valgasport.ee</t>
  </si>
  <si>
    <t>Pedeli tn 2a, Valga</t>
  </si>
  <si>
    <t>aeroobikasaal 30 inimesele;seminariruum 40 inimesele; õppeklass 20 inimesele</t>
  </si>
  <si>
    <t>Valga staadion</t>
  </si>
  <si>
    <t>https://www.valgasport.ee/sportimisvoimalused/staadion/</t>
  </si>
  <si>
    <t>766 1735</t>
  </si>
  <si>
    <t>E.Enno15, Valga 68204</t>
  </si>
  <si>
    <t>Valga Muusikakool</t>
  </si>
  <si>
    <t>767 9615</t>
  </si>
  <si>
    <t>kool@valgamuusikakool.ee</t>
  </si>
  <si>
    <t>Kesk tn 22, Valga 68203</t>
  </si>
  <si>
    <t>Otepää kultuurimaja</t>
  </si>
  <si>
    <t>Otepää vald</t>
  </si>
  <si>
    <t>https://www.facebook.com/pages/Otep%C3%A4%C3%A4%20Kultuurimaja/2135660470018324/</t>
  </si>
  <si>
    <t>5662 6481</t>
  </si>
  <si>
    <t>Merle.Soonberg@otepaa.ee</t>
  </si>
  <si>
    <t>Merle Soonberg</t>
  </si>
  <si>
    <t>Otepää vald, Otepää linn, Virulombi tn 2, 67404</t>
  </si>
  <si>
    <t>Sangaste kultuurimaja</t>
  </si>
  <si>
    <t>https://www.facebook.com/Sangaste-Kultuurimaja-499654153423923</t>
  </si>
  <si>
    <t>5300 8226</t>
  </si>
  <si>
    <t>Marina.Pulver@otepaa.ee</t>
  </si>
  <si>
    <t>Marina Pulver</t>
  </si>
  <si>
    <t>Valga mnt 7, Sangaste alevik</t>
  </si>
  <si>
    <t>Nõuni kultuurimaja</t>
  </si>
  <si>
    <t>5346 5648</t>
  </si>
  <si>
    <t>Marika.Viks@otepaa.ee</t>
  </si>
  <si>
    <t>Marika Viks</t>
  </si>
  <si>
    <t>Nõuni, 67515 Valga maakond</t>
  </si>
  <si>
    <t>Puka kultuurimaja</t>
  </si>
  <si>
    <t>https://www.facebook.com/PukaVallaKultuuripesa</t>
  </si>
  <si>
    <t>5553 3564</t>
  </si>
  <si>
    <t>Katrin.Uffert@otepaa.ee</t>
  </si>
  <si>
    <t>Katrin Uffert</t>
  </si>
  <si>
    <t>Puka alevik, Kesk 47, Otepää vald</t>
  </si>
  <si>
    <t>Kuigatsi Seltsimaja</t>
  </si>
  <si>
    <t>http://kuigatsi.edicypages.com/klamaja</t>
  </si>
  <si>
    <t>Tiiu.Treimuth@otepaa.ee</t>
  </si>
  <si>
    <t>Otepää Linnaraamatukogu</t>
  </si>
  <si>
    <t>766 4824</t>
  </si>
  <si>
    <t>Otepaa.Linnaraamatukogu@otepaa.ee</t>
  </si>
  <si>
    <t>Ülle Paul,</t>
  </si>
  <si>
    <t>Lipuväljak 13, 67405 OTEPÄÄ</t>
  </si>
  <si>
    <t>Pühajärve Raamatukogu</t>
  </si>
  <si>
    <t>766 8505</t>
  </si>
  <si>
    <t>Ly.Haaviste@otepaa.ee</t>
  </si>
  <si>
    <t>Ly Haaviste</t>
  </si>
  <si>
    <t>Sihva küla, 67301 Otepää vald</t>
  </si>
  <si>
    <t>Sangaste Raamatukogu</t>
  </si>
  <si>
    <t>5307 2043</t>
  </si>
  <si>
    <t>Heili.Kalbri@otepaa.ee</t>
  </si>
  <si>
    <t>Heili Kalbri</t>
  </si>
  <si>
    <t>Valga mnt 7, Sangaste alevik 67013</t>
  </si>
  <si>
    <t>Keeni Raamatukogu</t>
  </si>
  <si>
    <t>Keeni tee 6, Keeni 67012</t>
  </si>
  <si>
    <t>Nõuni Raamatukogu</t>
  </si>
  <si>
    <t>765 7333</t>
  </si>
  <si>
    <t>Anne.Udekyll@otepaa.ee</t>
  </si>
  <si>
    <t>Anne Udeküll</t>
  </si>
  <si>
    <t>Otepää vald, Nõuni</t>
  </si>
  <si>
    <t>Puka Raamatukogu</t>
  </si>
  <si>
    <t>http://pukark.onepagefree.com/index.php</t>
  </si>
  <si>
    <t>766 9417</t>
  </si>
  <si>
    <t>Ene.Markov@otepaa.ee</t>
  </si>
  <si>
    <t>Ene Markov</t>
  </si>
  <si>
    <t>Kooli 6, Puka alevik, Valgamaa, 67217</t>
  </si>
  <si>
    <t>Kuigatsi Raamatukogu</t>
  </si>
  <si>
    <t>769 2376</t>
  </si>
  <si>
    <t>Tiiu Treimuth</t>
  </si>
  <si>
    <t>Otepää vald, Kuigatsi küla</t>
  </si>
  <si>
    <t>Otepää Maarja kirik</t>
  </si>
  <si>
    <t>https://www.facebook.com/EELK-Otep%C3%A4%C3%A4-Maarja-kirik-229968010416405/</t>
  </si>
  <si>
    <t>518 5305</t>
  </si>
  <si>
    <t>marko.tiirmaa@eelk.ee</t>
  </si>
  <si>
    <t>Marko Tiirmaa</t>
  </si>
  <si>
    <t>Kirikumõis Otepää; Otepää vald 67412 Valga maakond</t>
  </si>
  <si>
    <t>Sangaste Püha Andrease kirik</t>
  </si>
  <si>
    <t>http://www.valgapraostkond.ee/index.php?op=3&amp;path=Sangaste</t>
  </si>
  <si>
    <t>pill@hot.ee</t>
  </si>
  <si>
    <t>Sangaste kirikla, 67001 Sangaste</t>
  </si>
  <si>
    <t>Otepää Evangeelne Vabakogudus Palverändur</t>
  </si>
  <si>
    <t>www.palverandur.ee</t>
  </si>
  <si>
    <t>5193 0410</t>
  </si>
  <si>
    <t>info@palverandur.ee</t>
  </si>
  <si>
    <t>Tõnu Paju</t>
  </si>
  <si>
    <t>Pärna 15; Otepää 67404; Valga maakond</t>
  </si>
  <si>
    <t>PUKA VABAKOGUDUS</t>
  </si>
  <si>
    <t>https://kogudused.ee/puka-vabakogudus/</t>
  </si>
  <si>
    <t>520 1997</t>
  </si>
  <si>
    <t>puka@kogudused.ee</t>
  </si>
  <si>
    <t>Enn Palmik</t>
  </si>
  <si>
    <t>Komsi, 67201 Valgamaa</t>
  </si>
  <si>
    <t>Ilmjärve Jumalailmumise kirik</t>
  </si>
  <si>
    <t>https://www.eoc.ee/kogudus/ilmjarve-jumalailmutamise-kogudus/?v=a57b8491d1d8</t>
  </si>
  <si>
    <t>524 8433</t>
  </si>
  <si>
    <t>Priit Sibul</t>
  </si>
  <si>
    <t>Ilmjärve küla, Valgamaa</t>
  </si>
  <si>
    <t>Gustav Wulff- Õis talumuuseum</t>
  </si>
  <si>
    <t>http://galerii.kirmus.ee/nypli/gustav-wulff-ois/muuseum/</t>
  </si>
  <si>
    <t>523 3060</t>
  </si>
  <si>
    <t>karupuh@mail.ee</t>
  </si>
  <si>
    <t>Nüpli küla, Otepää vald</t>
  </si>
  <si>
    <t>Otepää Gümnaasiumi koduloomuuseum</t>
  </si>
  <si>
    <t>www.nuustaku.edu.ee</t>
  </si>
  <si>
    <t>766 8241</t>
  </si>
  <si>
    <t>kool@nuustaku.edu.ee</t>
  </si>
  <si>
    <t>Maire Murumaa</t>
  </si>
  <si>
    <t>Koolitare 5, Otepää</t>
  </si>
  <si>
    <t>Talispordimuuseum</t>
  </si>
  <si>
    <t>www.tehvandi.ee</t>
  </si>
  <si>
    <t>766 9500</t>
  </si>
  <si>
    <t>tehvandi@tehvandi.ee</t>
  </si>
  <si>
    <t>Nüpli küla, Otepää</t>
  </si>
  <si>
    <t>Eesti Lipu muuseum</t>
  </si>
  <si>
    <t>http://www.valgapraostkond.ee/index.php?op=3&amp;path=Otep%E4%E4%2FEesti+Lipu+Muuseum</t>
  </si>
  <si>
    <t>504 0424</t>
  </si>
  <si>
    <t>jaan.uibo@gmail.com</t>
  </si>
  <si>
    <t>Jaan Uibo</t>
  </si>
  <si>
    <t>Kirikumõis, Otepää</t>
  </si>
  <si>
    <t>Jakob Hurda tuba</t>
  </si>
  <si>
    <t>Hellenurme vesiveski-muuseum</t>
  </si>
  <si>
    <t>www.veskimuuseum.ee</t>
  </si>
  <si>
    <t>520 5142</t>
  </si>
  <si>
    <t>Hellenurme küla</t>
  </si>
  <si>
    <t>Tehvandi Spordikeskus</t>
  </si>
  <si>
    <t>Nüpli küla 67408, Otepää vald</t>
  </si>
  <si>
    <t>Kääriku Spordikeskus</t>
  </si>
  <si>
    <t>http://www.kaariku.com/</t>
  </si>
  <si>
    <t>766 5600</t>
  </si>
  <si>
    <t>kaariku@tehvandi.ee</t>
  </si>
  <si>
    <t>Kääriku 67309, Otepää vald</t>
  </si>
  <si>
    <t>Kuutsemäe Puhkekeskus</t>
  </si>
  <si>
    <t>https://www.kuutsemae.ee/</t>
  </si>
  <si>
    <t>56 471 197</t>
  </si>
  <si>
    <t>fun@kuutsemae.ee</t>
  </si>
  <si>
    <t>Väike-Munamäe Keskus</t>
  </si>
  <si>
    <t>http://www.munakas.ee/</t>
  </si>
  <si>
    <t>7 333 701</t>
  </si>
  <si>
    <t>ski@munakas.ee</t>
  </si>
  <si>
    <t>Ansomäe mäesuusakeskus</t>
  </si>
  <si>
    <t>Otepää Golf</t>
  </si>
  <si>
    <t>http://www.otepaagolf.com/et/</t>
  </si>
  <si>
    <t>5620 0115</t>
  </si>
  <si>
    <t>info@otepaagolf.com</t>
  </si>
  <si>
    <t>Mäha küla, Otepää vald Valgamaa 67409</t>
  </si>
  <si>
    <t>Pühajärve Põhikooli spordisaalis</t>
  </si>
  <si>
    <t>http://www.pyhajarve.edu.ee/</t>
  </si>
  <si>
    <t>aartain@gmail.com</t>
  </si>
  <si>
    <t>Ain Aart</t>
  </si>
  <si>
    <t>Sihva, Otepää vald, Valgamaa 67301</t>
  </si>
  <si>
    <t>Pühajärve Spa&amp;Puhkekeskus</t>
  </si>
  <si>
    <t>https://www.pyhajarve.com/</t>
  </si>
  <si>
    <t>76 65 500</t>
  </si>
  <si>
    <t>pjpk@pjpk.ee</t>
  </si>
  <si>
    <t>Pühajärve, 67414 Valgamaa</t>
  </si>
  <si>
    <t>Otepää Avatud Noortekeskus</t>
  </si>
  <si>
    <t>www.noortekeskus.eu</t>
  </si>
  <si>
    <t>5332 6699</t>
  </si>
  <si>
    <t>Katlin.Nukka@otepaa.ee</t>
  </si>
  <si>
    <t>Kätlin Nukka</t>
  </si>
  <si>
    <t>Lipuväljak 13, Otepää</t>
  </si>
  <si>
    <t>Puka noortekeskus</t>
  </si>
  <si>
    <t>https://www.facebook.com/pukanoortekeskus</t>
  </si>
  <si>
    <t>507 4458</t>
  </si>
  <si>
    <t>Pille.Priidik@otepaa.ee</t>
  </si>
  <si>
    <t>Pille Priidik</t>
  </si>
  <si>
    <t>Kesk 47, Puka alevik, 67217 Valgamaa</t>
  </si>
  <si>
    <t>Keeni Noortekeskus</t>
  </si>
  <si>
    <t>https://www.facebook.com/keeni.noortekeskus</t>
  </si>
  <si>
    <t>Keeni küla, Otepää vald, Valgamaa, 67012</t>
  </si>
  <si>
    <t>Nõuni Noortetuba</t>
  </si>
  <si>
    <t>noored.palupera.ee</t>
  </si>
  <si>
    <t>viks.marika@gmail.com</t>
  </si>
  <si>
    <t>Nõuni, Otepää vald, 67515, Valga maakond</t>
  </si>
  <si>
    <t>Otepää Muusikakool</t>
  </si>
  <si>
    <t>www.otepaamuusikakool.ee</t>
  </si>
  <si>
    <t>53 033 037</t>
  </si>
  <si>
    <t>muusikakool@otepaa.ee</t>
  </si>
  <si>
    <t>Helen Kirsi</t>
  </si>
  <si>
    <t>Koolitare 7, 67403 OTEPÄÄ</t>
  </si>
  <si>
    <t>Teater Ugala</t>
  </si>
  <si>
    <t>Viljandi linn</t>
  </si>
  <si>
    <t>https://www.ugala.ee/</t>
  </si>
  <si>
    <t>433 0770</t>
  </si>
  <si>
    <t>teater@ugala.ee</t>
  </si>
  <si>
    <t>Garmen Tabor</t>
  </si>
  <si>
    <t>Vaksali 7, Viljandi 71020</t>
  </si>
  <si>
    <t xml:space="preserve">Väike saal - 155, Kammersaal - 50-60, Keldrisaal - 145, Keldrisaal - 100 </t>
  </si>
  <si>
    <t>Viljandi Nukuteater</t>
  </si>
  <si>
    <t>https://www.viljandinukuteater.ee/</t>
  </si>
  <si>
    <t>nukuteater@viljandi.ee</t>
  </si>
  <si>
    <t>Altmar Looris</t>
  </si>
  <si>
    <t>Lossi 31 , Viljandi 71004</t>
  </si>
  <si>
    <t>3,9 x 4,2</t>
  </si>
  <si>
    <t>3,35 x 3,4</t>
  </si>
  <si>
    <t>tänaval</t>
  </si>
  <si>
    <t>Viljandi Seasaare Teater</t>
  </si>
  <si>
    <t>https://seasaareteater.ee/</t>
  </si>
  <si>
    <t>50 90 408</t>
  </si>
  <si>
    <t>seasaare@gmail.com</t>
  </si>
  <si>
    <t>Reet Raudsepp</t>
  </si>
  <si>
    <t xml:space="preserve">Väike-Turu 3, Viljandi, 71003 </t>
  </si>
  <si>
    <t>Viljandi Muuseum</t>
  </si>
  <si>
    <t>http://muuseum.viljandimaa.ee/www/</t>
  </si>
  <si>
    <t>501 5069</t>
  </si>
  <si>
    <t>info@muuseum.viljandimaa.ee</t>
  </si>
  <si>
    <t>Jaak Pihlak</t>
  </si>
  <si>
    <t>Johan Laidoneri plats 10, 71020 Viljandi</t>
  </si>
  <si>
    <t>Forum Cinemas Centrum</t>
  </si>
  <si>
    <t>https://www.forumcinemas.ee/cinemas/centrum</t>
  </si>
  <si>
    <t>info@forumcinemas.ee</t>
  </si>
  <si>
    <t>Tallinna 22, 71008 Viljandi</t>
  </si>
  <si>
    <t>168+87</t>
  </si>
  <si>
    <t>Viljandi Avatud Noortetuba</t>
  </si>
  <si>
    <t>https://www.sakalakeskus.ee/asukoht/viljandi-vana-lennukitehas/</t>
  </si>
  <si>
    <t>585 86662</t>
  </si>
  <si>
    <t>ege.enok@sakalakeskus.ee</t>
  </si>
  <si>
    <t>Ege Enok</t>
  </si>
  <si>
    <t>Hariduse 12A, Viljandi 71012</t>
  </si>
  <si>
    <t>4 x 5</t>
  </si>
  <si>
    <t>2 x 3</t>
  </si>
  <si>
    <t>x</t>
  </si>
  <si>
    <t xml:space="preserve">ei täpselt aga palju </t>
  </si>
  <si>
    <t xml:space="preserve">on siseõu </t>
  </si>
  <si>
    <t>Viljandi Linnaraamatukogu</t>
  </si>
  <si>
    <t>http://raamatukogu.viljandi.ee/</t>
  </si>
  <si>
    <t>reet.lubi@raamatukogu.viljandi.ee</t>
  </si>
  <si>
    <t>Reet Lubi</t>
  </si>
  <si>
    <t>Tallinna 11/1 Viljandi 71012</t>
  </si>
  <si>
    <t>2 x 2.5</t>
  </si>
  <si>
    <t>ei tea</t>
  </si>
  <si>
    <t>tänaval, jalgrattaparkla</t>
  </si>
  <si>
    <t>Rüki galerii</t>
  </si>
  <si>
    <t>https://www.rukigalerii.ee/</t>
  </si>
  <si>
    <t>ruki@rukigalerii.ee</t>
  </si>
  <si>
    <t>Triinu Jürmann</t>
  </si>
  <si>
    <t>Tartu tn 7c, Viljandi 71004</t>
  </si>
  <si>
    <t>Kondase Keskus</t>
  </si>
  <si>
    <t>kondas.ee</t>
  </si>
  <si>
    <t>43 33 968</t>
  </si>
  <si>
    <t>kondas@kondas.ee</t>
  </si>
  <si>
    <t>Mari Vallikivi</t>
  </si>
  <si>
    <t>Pikk tänav 8, 71003</t>
  </si>
  <si>
    <t>Viljandi Spordikeskus</t>
  </si>
  <si>
    <t>www.viljandispordikeskus.ee</t>
  </si>
  <si>
    <t>43 51 575; 43 33 622</t>
  </si>
  <si>
    <t>spordikeskus@viljandi.ee</t>
  </si>
  <si>
    <t>Mati Jürisson</t>
  </si>
  <si>
    <t>Vaksali tänav 4, 71020</t>
  </si>
  <si>
    <t>Viljandi Jäähall</t>
  </si>
  <si>
    <t>www.viljandijaahall.ee</t>
  </si>
  <si>
    <t>645 9300​</t>
  </si>
  <si>
    <t>info@viljandijaahall.ee</t>
  </si>
  <si>
    <t>Puidu 8, 71020</t>
  </si>
  <si>
    <t>OÜ Tennisekeskus</t>
  </si>
  <si>
    <t>viljanditennis.ee/hall</t>
  </si>
  <si>
    <t>56 49 43 81</t>
  </si>
  <si>
    <t>fellin@tennisekeskus.eu</t>
  </si>
  <si>
    <t>Tartu tn 8, 71020</t>
  </si>
  <si>
    <t>Viljandi linnastaadion</t>
  </si>
  <si>
    <t>http://spordiplatsid.ee/plats/2352/Viljandi-linnastaadion</t>
  </si>
  <si>
    <t>4351 575</t>
  </si>
  <si>
    <t>Ranna pst 1, Viljandi linn, 71003</t>
  </si>
  <si>
    <t>100 kohta</t>
  </si>
  <si>
    <t>Viljandi laululava</t>
  </si>
  <si>
    <t>https://www.sakalakeskus.ee/asukoht/viljandi-lauluvaljak/</t>
  </si>
  <si>
    <t>info@sakalakeskus.ee</t>
  </si>
  <si>
    <t>Jaanus Kukk</t>
  </si>
  <si>
    <t>Talli 2, Viljandi</t>
  </si>
  <si>
    <t>1000 +</t>
  </si>
  <si>
    <t>Laulukaare laius 41 m
laulukaare kõrgus 13,3 m
Laulukaare sügavus 17,5 m</t>
  </si>
  <si>
    <t>2×63 A</t>
  </si>
  <si>
    <t>ei ole</t>
  </si>
  <si>
    <t>Jaani kirik</t>
  </si>
  <si>
    <t>https://viljandi.jaani.eelk.ee/</t>
  </si>
  <si>
    <t>5341 3394</t>
  </si>
  <si>
    <t>marko.tiitus@eelk.ee</t>
  </si>
  <si>
    <t>Marko Tiitus</t>
  </si>
  <si>
    <t>Pikk 6, Viljandi, 71003</t>
  </si>
  <si>
    <t>Pauluse kirik</t>
  </si>
  <si>
    <t>https://viljandi.praostkond.eelk.ee/kogudus.php?id=159</t>
  </si>
  <si>
    <t>viljandi.pauluse@eelk.ee</t>
  </si>
  <si>
    <t>Allan Praats</t>
  </si>
  <si>
    <t>Kiriku 5, 71003 Viljandi</t>
  </si>
  <si>
    <t>Viljandi baptistikirik</t>
  </si>
  <si>
    <t>https://vbk.ee/</t>
  </si>
  <si>
    <t>505 8943</t>
  </si>
  <si>
    <t>info@vbk.ee</t>
  </si>
  <si>
    <t>August Maramaa puiestee 1A, Viljandi, 71007</t>
  </si>
  <si>
    <t>Viljandi muusikakool</t>
  </si>
  <si>
    <t>viljandimuusikakool.ee</t>
  </si>
  <si>
    <t>43 33 463</t>
  </si>
  <si>
    <t>info@viljandimuusikakool.ee</t>
  </si>
  <si>
    <t>Tonio Tamra</t>
  </si>
  <si>
    <t>Carl Robert Jakobsoni 16, 71005</t>
  </si>
  <si>
    <t>Kaevumägi</t>
  </si>
  <si>
    <t>https://www.sakalakeskus.ee/asukoht/kaevumae-vabaohulava/</t>
  </si>
  <si>
    <t>Viljandi ordulinnus</t>
  </si>
  <si>
    <t>17x9m lava</t>
  </si>
  <si>
    <t>I Kirsimägi</t>
  </si>
  <si>
    <t>https://www.sakalakeskus.ee/asukoht/i-kirsimagi/</t>
  </si>
  <si>
    <t>II kirsimägi</t>
  </si>
  <si>
    <t>https://www.sakalakeskus.ee/asukoht/ii-kirsimagi/</t>
  </si>
  <si>
    <t>Ala suurus 90 m x 30 m.</t>
  </si>
  <si>
    <t>Sakala Keskus</t>
  </si>
  <si>
    <t>https://www.sakalakeskus.ee/</t>
  </si>
  <si>
    <t>Tallinna 5, Viljandi</t>
  </si>
  <si>
    <t>Viljandi veetorn</t>
  </si>
  <si>
    <t>https://www.sakalakeskus.ee/asukoht/viljandi-vana-veetorn/</t>
  </si>
  <si>
    <t>433 3992</t>
  </si>
  <si>
    <t>Johan Laidoneri plats 5</t>
  </si>
  <si>
    <t>Pärimusmuusika Ait</t>
  </si>
  <si>
    <t>https://www.folk.ee/</t>
  </si>
  <si>
    <t>434 2050</t>
  </si>
  <si>
    <t>folk@folk.ee</t>
  </si>
  <si>
    <t>Annika Vihmann</t>
  </si>
  <si>
    <t>Tasuja pst 6, Viljandi</t>
  </si>
  <si>
    <t>Suur saal- 5x14</t>
  </si>
  <si>
    <t>Keldrisaal 100</t>
  </si>
  <si>
    <t>Suur saal- 5x6, väike saal 2x2.20</t>
  </si>
  <si>
    <t>jah, maja taga + kirsimägi, mis mahutab tuhandeid.</t>
  </si>
  <si>
    <t xml:space="preserve">TÜ Viljandi Kultuuriakadeemia black box </t>
  </si>
  <si>
    <t>https://www.kultuur.ut.ee/et/akadeemia</t>
  </si>
  <si>
    <t>5167 870</t>
  </si>
  <si>
    <t>reevo.maidla@ut.ee</t>
  </si>
  <si>
    <t>Reevo Maidla</t>
  </si>
  <si>
    <t>Posti 1</t>
  </si>
  <si>
    <t>250+</t>
  </si>
  <si>
    <t>Tõrva kino Koit</t>
  </si>
  <si>
    <t>Tõrva vald</t>
  </si>
  <si>
    <t>kino</t>
  </si>
  <si>
    <t>http://www.kinokoit.ee/</t>
  </si>
  <si>
    <t>5780 1498</t>
  </si>
  <si>
    <t>torvakinokoit@gmail.com</t>
  </si>
  <si>
    <t>Valga tn 6, Tõrva, 68606</t>
  </si>
  <si>
    <t>Barclay de Tolly mausoleum</t>
  </si>
  <si>
    <t>https://torva.kovtp.ee/barclay-de-tolly-mausoleum</t>
  </si>
  <si>
    <t>513 9065</t>
  </si>
  <si>
    <t>Helme Koduloomuuseum</t>
  </si>
  <si>
    <t>http://helmemuuseum.edicypages.com/</t>
  </si>
  <si>
    <t>528 2264</t>
  </si>
  <si>
    <t>helmemuuseum@gmail.com</t>
  </si>
  <si>
    <t xml:space="preserve">Kirikuküla, Tõrva vald </t>
  </si>
  <si>
    <t>Riidaja mõisa ajalootuba</t>
  </si>
  <si>
    <t>763 4524</t>
  </si>
  <si>
    <t>Riidaja, Tõrva vald        68716</t>
  </si>
  <si>
    <t>Riidaja kirik-kabel</t>
  </si>
  <si>
    <t>Riidaja, Tõrva vald</t>
  </si>
  <si>
    <t>Tõrva Muusikakool</t>
  </si>
  <si>
    <t>https://torva.kovtp.ee/torva-muusikakool</t>
  </si>
  <si>
    <t>529 7974</t>
  </si>
  <si>
    <t>muusikakool@torva.ee</t>
  </si>
  <si>
    <t>Thea Leitmaa</t>
  </si>
  <si>
    <t xml:space="preserve">Puiestee 1, Tõrva </t>
  </si>
  <si>
    <t>Riidaja noortetuba</t>
  </si>
  <si>
    <t>https://www.facebook.com/riidaja.noortetuba</t>
  </si>
  <si>
    <t>age.leesment@torva.ee</t>
  </si>
  <si>
    <t>Age Leesment</t>
  </si>
  <si>
    <t>Hummuli noortetuba</t>
  </si>
  <si>
    <t>https://www.facebook.com/groups/168005730055070/about/</t>
  </si>
  <si>
    <t>margit.kolju@torva.ee</t>
  </si>
  <si>
    <t>Margit Kolju</t>
  </si>
  <si>
    <t>Hummuli alevik, Tõrva vald</t>
  </si>
  <si>
    <t>Ritsu Noortetuba</t>
  </si>
  <si>
    <t>https://www.facebook.com/ritsunoortetuba/</t>
  </si>
  <si>
    <t>ritsukulakeskus@gmail.com</t>
  </si>
  <si>
    <t>Giia Timspon</t>
  </si>
  <si>
    <t>Linna küla, Tõrva vald</t>
  </si>
  <si>
    <t>Tõrva Avatud Noortekeskus</t>
  </si>
  <si>
    <t>https://torva.kovtp.ee/kontakt-ja-teave-torva-noortekeskus</t>
  </si>
  <si>
    <t>madis.mumm@torva.ee</t>
  </si>
  <si>
    <t>Madis Mumm</t>
  </si>
  <si>
    <t>Spordi 1, Tõrva</t>
  </si>
  <si>
    <t>Helme Raamatukogu</t>
  </si>
  <si>
    <t>763 5441</t>
  </si>
  <si>
    <t>helmerk@torva.ee</t>
  </si>
  <si>
    <t>Kairi Müürsepp</t>
  </si>
  <si>
    <t>Hummuli Raamatukogu</t>
  </si>
  <si>
    <t xml:space="preserve">- </t>
  </si>
  <si>
    <t>5 342 2465</t>
  </si>
  <si>
    <t>hummulirk@torva.ee</t>
  </si>
  <si>
    <t>Elmar Orav</t>
  </si>
  <si>
    <t>Riidaja Raamatukogu</t>
  </si>
  <si>
    <t>riidajark@torva.ee</t>
  </si>
  <si>
    <t>Anne Pai</t>
  </si>
  <si>
    <t>Riidaja mõisa peahoone, Riidaja</t>
  </si>
  <si>
    <t>Taagepera Raamatukogu</t>
  </si>
  <si>
    <t>5 384 0849</t>
  </si>
  <si>
    <t>taageperark@torva.ee</t>
  </si>
  <si>
    <t>Erja Liivson</t>
  </si>
  <si>
    <t>Ala küla, Tõrva vald</t>
  </si>
  <si>
    <t>Tõrva Lasteraamatukogu</t>
  </si>
  <si>
    <t>766 5334</t>
  </si>
  <si>
    <t>lasteraamatukogu@torva.ee</t>
  </si>
  <si>
    <t>Silva Schütz</t>
  </si>
  <si>
    <t>Valga tn 58a, 68606 Tõrva</t>
  </si>
  <si>
    <t>Tõrva Linnaraamatukogu</t>
  </si>
  <si>
    <t>https://torva.kovtp.ee/torva-linnaraamatukogu</t>
  </si>
  <si>
    <t>766 5333</t>
  </si>
  <si>
    <t>raamatukogu@torva.ee</t>
  </si>
  <si>
    <t>Männiku 5,68605 Tõrva</t>
  </si>
  <si>
    <t>Tõrva linna Spordihoone</t>
  </si>
  <si>
    <t>https://torva.kovtp.ee/treeningud</t>
  </si>
  <si>
    <t>512 7219</t>
  </si>
  <si>
    <t>viljo@riiska.ee</t>
  </si>
  <si>
    <t>Viljo Grauding</t>
  </si>
  <si>
    <t>Valga tn 76, Tõrva</t>
  </si>
  <si>
    <t>Tõrva Gümnaasiumi Spordisaal</t>
  </si>
  <si>
    <t>767 9456</t>
  </si>
  <si>
    <t>Ivar Hanvere</t>
  </si>
  <si>
    <t>Puiestee tn 1</t>
  </si>
  <si>
    <t>Ritsu Spordibaas</t>
  </si>
  <si>
    <t>5664 0993</t>
  </si>
  <si>
    <t>tiina.neumann@torva.ee</t>
  </si>
  <si>
    <t>Tiina Neumann</t>
  </si>
  <si>
    <t>Helme Maarja</t>
  </si>
  <si>
    <t>524 9654</t>
  </si>
  <si>
    <t>arvo.lasting@eelk.ee</t>
  </si>
  <si>
    <t>Arvo Lasting</t>
  </si>
  <si>
    <t>Kalmistu 2, 68604 Tõrva</t>
  </si>
  <si>
    <t>Taagepera Jaani kirik</t>
  </si>
  <si>
    <t>Tõrva "Immaanueli" kirik</t>
  </si>
  <si>
    <t>5 663 3250</t>
  </si>
  <si>
    <t>torva@ekklesia.ee</t>
  </si>
  <si>
    <t>Elme Maamägi</t>
  </si>
  <si>
    <t>Aia 6, 68605 Tõrva linn</t>
  </si>
  <si>
    <t>Tõrva Kirik-Kammersaal</t>
  </si>
  <si>
    <t>https://torva.kovtp.ee/torva-kirik-kammersaal</t>
  </si>
  <si>
    <t>763 3143</t>
  </si>
  <si>
    <t>kammers@hot.ee</t>
  </si>
  <si>
    <t>Ilmar Kõverik</t>
  </si>
  <si>
    <t>Valga tn 42a, 68606 Tõrva</t>
  </si>
  <si>
    <t>Ala Rahvamaja</t>
  </si>
  <si>
    <t>https://torva.kovtp.ee/ala-rahvamaja</t>
  </si>
  <si>
    <t>5 302 4110</t>
  </si>
  <si>
    <t>pille@torva.ee</t>
  </si>
  <si>
    <t>Pille Ilisson</t>
  </si>
  <si>
    <t>Parkla/Tänaval</t>
  </si>
  <si>
    <t>Hummuli Rahvamaja</t>
  </si>
  <si>
    <t>https://torva.kovtp.ee/hummuli-rahvamaja</t>
  </si>
  <si>
    <t>5 341 3150</t>
  </si>
  <si>
    <t>annejaakson5@gmail.com</t>
  </si>
  <si>
    <t>Anne Jaakson</t>
  </si>
  <si>
    <t>Hummuli, Tõrva vald</t>
  </si>
  <si>
    <t>Koorküla Rahvamaja</t>
  </si>
  <si>
    <t>https://torva.kovtp.ee/koorkula-rahvamaja</t>
  </si>
  <si>
    <t>5 800 2475</t>
  </si>
  <si>
    <t>Lemme Maisla</t>
  </si>
  <si>
    <t>Koorküla, Tõrva vald</t>
  </si>
  <si>
    <t>Riidaja Kultuurimaja</t>
  </si>
  <si>
    <t>https://torva.kovtp.ee/riidaja-kultuurimaja</t>
  </si>
  <si>
    <t>Tõrva Kultuurimaja</t>
  </si>
  <si>
    <t>https://torva.kovtp.ee/kontakt-ja-teave-torva-kultuurimaja</t>
  </si>
  <si>
    <t>Männiku 5, Tõrva linn</t>
  </si>
  <si>
    <t>OTSINGU TULEMUSED</t>
  </si>
  <si>
    <t>Rahvamaja</t>
  </si>
  <si>
    <t>(+372) 5692 6183</t>
  </si>
  <si>
    <t>(+372) 5886 8266</t>
  </si>
  <si>
    <t>Kultuurimaja</t>
  </si>
  <si>
    <t>(+372) 773 4689; (+372) 525 8797</t>
  </si>
  <si>
    <t>(+372) 773 4500; (+372) 5623 9091</t>
  </si>
  <si>
    <t>Kogukonnakeskus</t>
  </si>
  <si>
    <t>(+372) 5883 7087</t>
  </si>
  <si>
    <t>(+372) 745 3846</t>
  </si>
  <si>
    <t>(+372) 5662 3980</t>
  </si>
  <si>
    <t>(+372) 5354 1436</t>
  </si>
  <si>
    <t xml:space="preserve">Koosa raamatukogu </t>
  </si>
  <si>
    <t>(+372) 526 8065</t>
  </si>
  <si>
    <t>(+372) 5305 4441</t>
  </si>
  <si>
    <t>(+372) 5300 1774</t>
  </si>
  <si>
    <t>(+372) 5356 0195</t>
  </si>
  <si>
    <t>(+372) 773 4625</t>
  </si>
  <si>
    <t>(+372) 773 4505</t>
  </si>
  <si>
    <t>(+372) 5303 3502</t>
  </si>
  <si>
    <t>(+372) 5275 898</t>
  </si>
  <si>
    <t>(+372) 509 4339</t>
  </si>
  <si>
    <t>(+372) 5558 0976</t>
  </si>
  <si>
    <t>Kokora väliteeninguspunkt</t>
  </si>
  <si>
    <t>(+372) 730 2378; 5684 5020</t>
  </si>
  <si>
    <t>Seltsimaja</t>
  </si>
  <si>
    <t>(+372) 5683 5544</t>
  </si>
  <si>
    <t>(+372)  507 6784</t>
  </si>
  <si>
    <t>Külamaja</t>
  </si>
  <si>
    <t>(+372) 5684 5020</t>
  </si>
  <si>
    <t>(+372) 527 5898</t>
  </si>
  <si>
    <t>(+372) 528 1292</t>
  </si>
  <si>
    <t>(+372) 525 4959</t>
  </si>
  <si>
    <t>(+372) 5550 9060</t>
  </si>
  <si>
    <t>(+372) 5562 2829</t>
  </si>
  <si>
    <t>(+372) 5395 3701</t>
  </si>
  <si>
    <t>(+372) 745 3487</t>
  </si>
  <si>
    <t>(+372) 504 9908</t>
  </si>
  <si>
    <t>(+372) 745 2911</t>
  </si>
  <si>
    <t>(+372) 5912 3923</t>
  </si>
  <si>
    <t>(+372) 5333 2130</t>
  </si>
  <si>
    <t>(+372) 7310121</t>
  </si>
  <si>
    <t>püsiühendus</t>
  </si>
  <si>
    <t>Anna Haava nim Pala Kooli staadion</t>
  </si>
  <si>
    <t>(+372) 7 734 641, (+372) 5828 1217</t>
  </si>
  <si>
    <t>püsiühendus ja avalik wi-fi</t>
  </si>
  <si>
    <t>(+372) 53009392</t>
  </si>
  <si>
    <t>(+372) 505 0859</t>
  </si>
  <si>
    <t>(+372) 5890 6170</t>
  </si>
  <si>
    <t>(+372) 5332 7065</t>
  </si>
  <si>
    <t>(+372) 5306 4665</t>
  </si>
  <si>
    <t>Spordihoone</t>
  </si>
  <si>
    <t>olemas kammersaal</t>
  </si>
  <si>
    <t>olemas suur pallimängude saal, maadlus- ja võimlemissaal</t>
  </si>
  <si>
    <t>kutuurikeskus</t>
  </si>
  <si>
    <t>Tantsu-, aktuse- ja peosaal, saali suurus 315,8m2</t>
  </si>
  <si>
    <t>seltsimaja</t>
  </si>
  <si>
    <t>kutuurimaja</t>
  </si>
  <si>
    <t>raamatukogud</t>
  </si>
  <si>
    <t>spordihoone</t>
  </si>
  <si>
    <t>olemas sprodiväljakud</t>
  </si>
  <si>
    <t>külaselts</t>
  </si>
  <si>
    <t>kirik</t>
  </si>
  <si>
    <r>
      <rPr>
        <rFont val="Times New Roman"/>
        <color rgb="FF1155CC"/>
        <sz val="10.0"/>
        <u/>
      </rPr>
      <t>www.mm.ee</t>
    </r>
    <r>
      <rPr>
        <rFont val="Times New Roman"/>
        <sz val="10.0"/>
      </rPr>
      <t xml:space="preserve"> </t>
    </r>
  </si>
  <si>
    <t>5 proovisaali x 50inim.</t>
  </si>
  <si>
    <t xml:space="preserve">Muuseum  </t>
  </si>
  <si>
    <r>
      <rPr>
        <rFont val="Times New Roman"/>
        <color rgb="FF1155CC"/>
        <sz val="10.0"/>
        <u/>
      </rPr>
      <t>www.erm.ee</t>
    </r>
    <r>
      <rPr>
        <rFont val="Times New Roman"/>
        <sz val="10.0"/>
      </rPr>
      <t xml:space="preserve"> </t>
    </r>
  </si>
  <si>
    <r>
      <rPr>
        <rFont val="Times New Roman"/>
        <color rgb="FF1155CC"/>
        <sz val="10.0"/>
        <u/>
      </rPr>
      <t>www.kvak.ee/muuseum/</t>
    </r>
    <r>
      <rPr>
        <rFont val="Times New Roman"/>
        <sz val="10.0"/>
      </rPr>
      <t xml:space="preserve"> </t>
    </r>
  </si>
  <si>
    <t>kultuurikeskus</t>
  </si>
  <si>
    <t>sündmuskeskus</t>
  </si>
  <si>
    <t xml:space="preserve">Klubi </t>
  </si>
  <si>
    <t xml:space="preserve">Kirik </t>
  </si>
  <si>
    <t xml:space="preserve">klubi </t>
  </si>
  <si>
    <t>muuseum</t>
  </si>
  <si>
    <t>elamuskeskus</t>
  </si>
  <si>
    <t>spordikeskus</t>
  </si>
  <si>
    <t>näituste saal, Suveperioodil avatud muuseumi filiaal Luke mõisapargi kärnerimajas</t>
  </si>
  <si>
    <t>suur saal, avatud tuba, lastemängutuba, köök</t>
  </si>
  <si>
    <t>I korrusel suur saal, II korrusel avatud tuba</t>
  </si>
  <si>
    <t>noortekeskus</t>
  </si>
  <si>
    <t>olemas 3 avatud ruumi, kööginurk</t>
  </si>
  <si>
    <t>kultuurimaja</t>
  </si>
  <si>
    <t>raamatukogu</t>
  </si>
  <si>
    <t>päevakeskus</t>
  </si>
  <si>
    <t>spordisaalid (palli, judo, aeroobika)</t>
  </si>
  <si>
    <t>aeroobikasaal helisüsteemiga</t>
  </si>
  <si>
    <t>korvpalliväljak, välijõulinnak</t>
  </si>
  <si>
    <t>muusikakool</t>
  </si>
  <si>
    <t>kontserdisaal</t>
  </si>
  <si>
    <t>olemas, 2 tiibklaverit</t>
  </si>
  <si>
    <t>klubi</t>
  </si>
  <si>
    <t>klubi näitusesaal</t>
  </si>
  <si>
    <t>näitusesaal</t>
  </si>
  <si>
    <t>seminarisaal ja õppeklass</t>
  </si>
  <si>
    <t>I korrusel üks, teine II korrusel</t>
  </si>
  <si>
    <t>esitlustehnika(projektor, kõlarid) olemas (ei sisalda arvutit)</t>
  </si>
  <si>
    <t>kokku 300+</t>
  </si>
  <si>
    <t>konverentsisaalm, suur saal, seminarisaal</t>
  </si>
  <si>
    <t>Vabaajakeskus</t>
  </si>
  <si>
    <t>15-80, pargis kuni 50</t>
  </si>
  <si>
    <t>kärnerimaja 15 inimest, kultuuriait kuni 80 inimest</t>
  </si>
  <si>
    <t>mõisapark</t>
  </si>
  <si>
    <t>külamaja</t>
  </si>
  <si>
    <t>suur saal, väike saal</t>
  </si>
  <si>
    <t>vabaõhulava</t>
  </si>
  <si>
    <t>suur saal 134,1 m2</t>
  </si>
  <si>
    <t>loenguruum</t>
  </si>
  <si>
    <t>esimene</t>
  </si>
  <si>
    <t>kaminasaal ja õppeklass</t>
  </si>
  <si>
    <t>osaliselt</t>
  </si>
  <si>
    <t>erinevad saalid ja väljakud</t>
  </si>
  <si>
    <t>300 inimest</t>
  </si>
  <si>
    <t>SA noortekeskus</t>
  </si>
  <si>
    <t>oma maja</t>
  </si>
  <si>
    <t>keskraamatukogu</t>
  </si>
  <si>
    <t>Räpina inkubatsioonikeskus</t>
  </si>
  <si>
    <t>60 + 30 seminariruumis</t>
  </si>
  <si>
    <t>peosaal, väiksemad ruumid</t>
  </si>
  <si>
    <t>I korrus/seminariruum II korrusel</t>
  </si>
  <si>
    <t>seminariruumis olemas esitlustehnika/helisalvestusruum olemas</t>
  </si>
  <si>
    <t>spordikool</t>
  </si>
  <si>
    <t>kergejõustik, korvpall, võrkpall</t>
  </si>
  <si>
    <t>Räpina Ühisgümnaasiumi spordisaalis ja võimlas, Räpina staadionil, Räpina Aianduskooli võimlas.</t>
  </si>
  <si>
    <t>spordiväljak</t>
  </si>
  <si>
    <t>rahvamaja-spordisaal</t>
  </si>
  <si>
    <t>Pallimängude saal, hall, pallimängujoontega võimla</t>
  </si>
  <si>
    <t>spordisaal</t>
  </si>
  <si>
    <t>Võimla, spordihall, spordisaal</t>
  </si>
  <si>
    <t>rannavõrkpalliplats, jõuinnak</t>
  </si>
  <si>
    <t>rannavõrkpalliväljak</t>
  </si>
  <si>
    <t>Väliväljak</t>
  </si>
  <si>
    <t>harrastusvõimlemine, kulturism ja fitness</t>
  </si>
  <si>
    <t>Ruusa Põhikool</t>
  </si>
  <si>
    <t>9 spordiala</t>
  </si>
  <si>
    <t>Võimla mõõtmetega 25x13 m (korvpall, võrkpall, sulgpall, saalijalgpall, indiaca), jõusaal.</t>
  </si>
  <si>
    <t>Võrkpalliväljak, alamõõduline korvpalliväljak. Võimlat kasutatakse kooliõpilaste kehalise kasvatuse tundide läbiviimiseks.</t>
  </si>
  <si>
    <t>Sportliku liikumise püsirada</t>
  </si>
  <si>
    <t>skatepark</t>
  </si>
  <si>
    <t>Kergejõustiku- ja jalgpallistaadion (400m telliskivipurukattega ringrada, kaugushüppe-, teivashüppe-, kõrgushüppe-, odaviske-, kuulitõukepaigad, jalgpalliväljak).</t>
  </si>
  <si>
    <t>IV korruse võimla</t>
  </si>
  <si>
    <t>2 asfaltkattega korvpalliväljakut.</t>
  </si>
  <si>
    <t>50 kohta õppeklassis</t>
  </si>
  <si>
    <t>Võimla mõõtmetega 41x17m (korvpalli-, võrkpalli-, sulgpalli-, indiaca-, tenniseväljakud, lauatenniselauad).</t>
  </si>
  <si>
    <t>jõusaal</t>
  </si>
  <si>
    <t>huvikool</t>
  </si>
  <si>
    <t>EELK RÄPINA MIIKAELI KOGUDUS</t>
  </si>
  <si>
    <t>EAÕK RÄPINA PÜHA SAKARIASE JA PÜHA ELIISABETI KOGUDUS</t>
  </si>
  <si>
    <t>MTÜ</t>
  </si>
  <si>
    <t>seltsing</t>
  </si>
  <si>
    <t>PÕLVA KULTUURI- JA HUVIKESKUSE KINO</t>
  </si>
  <si>
    <t>394 kohta saalis</t>
  </si>
  <si>
    <t>teatrisaalis kino</t>
  </si>
  <si>
    <t>12 rida 394 kohta</t>
  </si>
  <si>
    <t>Valge saal mahutab 40-50 inimest/roheline saal 30 - 40 inimest</t>
  </si>
  <si>
    <t>Konverentsisaal</t>
  </si>
  <si>
    <t>haruraamatukogu</t>
  </si>
  <si>
    <t>Põlva</t>
  </si>
  <si>
    <t>Spordisaali ja jõusaal</t>
  </si>
  <si>
    <t>Jalgpall, kergejõustik</t>
  </si>
  <si>
    <t>Staadion, korvapalli- ja võrkpalliplats, väikse sisesaal</t>
  </si>
  <si>
    <t>tervisespordikeskus</t>
  </si>
  <si>
    <t>Jalgpall, võrkpall, jooksmine, kõnd, jalgratas, suusatamine, discgolf, maastikurattasõit</t>
  </si>
  <si>
    <t>Väljas ka väljakud</t>
  </si>
  <si>
    <t>60 kohta õpperuumides</t>
  </si>
  <si>
    <t>38 inimesele majutus</t>
  </si>
  <si>
    <t>spordisaalid</t>
  </si>
  <si>
    <t>võimla</t>
  </si>
  <si>
    <t>2 sportimispaika: kergejõustiku- ja jalgpalliväljak</t>
  </si>
  <si>
    <t>üks õpperuum 80 kohta õpperuumides</t>
  </si>
  <si>
    <t>spordihall</t>
  </si>
  <si>
    <t>Normaalmõõtmetega käsipalliväljak, ristipidi 2 vähendatud mõõtmetega (30x18m) käsipalliväljakut; piki saali 1 ja risti saali 2 normaalmõõtmetega korvpalliväljakut; piki saali 1 ja risti saali 3 normaalmõõtmetega võrkpalliväljakut.</t>
  </si>
  <si>
    <t>Sisetiir</t>
  </si>
  <si>
    <t>Laskesport. Laskmine väikesekaliibrilistest relvadest 25 meetri ja 50 meetri siselasketiirus ning õhkrelvadest 10 meetri sisetiirus.</t>
  </si>
  <si>
    <t>25 kohta õpperuumies</t>
  </si>
  <si>
    <t>30 voodikohta</t>
  </si>
  <si>
    <t>- võimla - ujula ja lastebassein - jõusaal - maadlussaal - aeroobikasaal</t>
  </si>
  <si>
    <t>15 kohta õpperuumides</t>
  </si>
  <si>
    <t>motokrossiala</t>
  </si>
  <si>
    <t>Tehnikaspordi püsirada, v.a veemotorada</t>
  </si>
  <si>
    <t>Kooli võimla. Võimalik mängida korv-, võrk-, jalg- ja sulgpalli ning tennist. Olemas on võimlemisinventar, matid.</t>
  </si>
  <si>
    <t>staadion, välispalliväljak</t>
  </si>
  <si>
    <t>10 kohta õpperuumis</t>
  </si>
  <si>
    <t>kogukonnakool</t>
  </si>
  <si>
    <t>mittetulundusühing</t>
  </si>
  <si>
    <t>Vabaõhumuuseum</t>
  </si>
  <si>
    <t>peopaik kuni 60 inimesele rahvamajas</t>
  </si>
  <si>
    <t>ole,as</t>
  </si>
  <si>
    <t>olemas parkla tee ääres</t>
  </si>
  <si>
    <t>3 saali: sillatuba, masinahalli õppeklass, liikluskasvatuskeskus</t>
  </si>
  <si>
    <t xml:space="preserve">sillatuba - kohti laudadega 35; masinahallis kohti laudadega 24; liikluskasvatuskeskuses kohti teatristiilis kuni 150, laudadega 70; </t>
  </si>
  <si>
    <t>Tehnika: ekraan, kõlarisüsteem, mikrofonid, sobilik sünkroontõlkeks, lisaekraani võimalus.</t>
  </si>
  <si>
    <t>saalid läbi kolme korruse: Väike pukokoda 30 inimest, pokukoja galerii 30 inimest, suvel aidakino 20 inimest</t>
  </si>
  <si>
    <t>Data, ekraan olemas</t>
  </si>
  <si>
    <t>Galeriisaal olemas</t>
  </si>
  <si>
    <t>eraldi parkla olemas</t>
  </si>
  <si>
    <t>väljas</t>
  </si>
  <si>
    <t>Autokino</t>
  </si>
  <si>
    <t>raamatukogu-külakeskus</t>
  </si>
  <si>
    <t>külakeskus</t>
  </si>
  <si>
    <t>Kanepi Gümnaasium</t>
  </si>
  <si>
    <t>Saal 26x15m (korvpall, võrkpall, käsipall, sulgpall)</t>
  </si>
  <si>
    <t>13 korviga discgolfi park</t>
  </si>
  <si>
    <t>Staadion ja jalgpalliväljak (ei ole normaalmõõtmetes). Kergejõustiku võimalus. Välikorvpalliplats, rannavõrkpalliplats, tenniseväljaku plats ja skatepark.</t>
  </si>
  <si>
    <t>Võimla 36x18m (harrastusvõimlemine, sulgpall, korvpall, võrkpall, saalihoki, lauatennis), jõusaal.</t>
  </si>
  <si>
    <t>staadion, spordiväljak</t>
  </si>
  <si>
    <t>sprodiväljak</t>
  </si>
  <si>
    <t>18 korviga discgolfi rada. Radade kogupikkus 2081 m, ringi üldpikkus umbes 4 km. Raskusastmelt üle keskmise raske.</t>
  </si>
  <si>
    <t>Puidust välitrenažöörid ja võimlemisvahendid erinevate lihasgruppide treenimiseks</t>
  </si>
  <si>
    <t>teine</t>
  </si>
  <si>
    <t>esimesel</t>
  </si>
  <si>
    <t>võru linn</t>
  </si>
  <si>
    <t>kool</t>
  </si>
  <si>
    <r>
      <rPr>
        <rFont val="Times New Roman"/>
        <color rgb="FF000000"/>
        <sz val="10.0"/>
      </rPr>
      <t xml:space="preserve"> </t>
    </r>
    <r>
      <rPr>
        <rFont val="Times New Roman"/>
        <color rgb="FF000000"/>
        <sz val="10.0"/>
      </rPr>
      <t>parkseparahvamaja@voruvald.ee</t>
    </r>
  </si>
  <si>
    <t>esimesel korrusel</t>
  </si>
  <si>
    <t>olemas 3 saali</t>
  </si>
  <si>
    <t>rahvamaja</t>
  </si>
  <si>
    <t>kolmas korrus</t>
  </si>
  <si>
    <t>vabaajakeskus</t>
  </si>
  <si>
    <t>mitu</t>
  </si>
  <si>
    <t xml:space="preserve">suur saal </t>
  </si>
  <si>
    <t>On</t>
  </si>
  <si>
    <t>seinale</t>
  </si>
  <si>
    <t>Valga keskväljak</t>
  </si>
  <si>
    <t>on</t>
  </si>
  <si>
    <t>OTEPÄÄ MUUSIKAKOOL</t>
  </si>
  <si>
    <t>Suur saal - 540 kohtaVäike saal - 155 kohtaKammersaal - 50-60 kohtaKeldrisaal - 145 kohta (teatristiilis)Keldrisaal - 145 kohta (teatristiilis variant 2)Keldrisaal - 100 kohta (laudadega)</t>
  </si>
  <si>
    <t>ja</t>
  </si>
  <si>
    <t>on olemas</t>
  </si>
  <si>
    <t>I korrusel</t>
  </si>
  <si>
    <t>200 +100 galerii</t>
  </si>
  <si>
    <t>jah galerii</t>
  </si>
  <si>
    <t>III korrus</t>
  </si>
  <si>
    <t>24 m stangesid</t>
  </si>
  <si>
    <t>1000 istekohta</t>
  </si>
  <si>
    <t>õues</t>
  </si>
  <si>
    <t>üld</t>
  </si>
  <si>
    <t>600 istekohta</t>
  </si>
  <si>
    <t>kultuuriaja</t>
  </si>
  <si>
    <t>näitus</t>
  </si>
  <si>
    <t>muusikakeskus</t>
  </si>
  <si>
    <t>jah, 3</t>
  </si>
  <si>
    <t>I korrus, keldrikorrus</t>
  </si>
  <si>
    <t>100+500+30</t>
  </si>
  <si>
    <t>fuajee, klaassaal</t>
  </si>
  <si>
    <t>jah, maja taga</t>
  </si>
  <si>
    <t>TÜ Viljandi Kultuuriakadeemia</t>
  </si>
  <si>
    <t xml:space="preserve">Viljandi Gümnaasium </t>
  </si>
  <si>
    <t>https://www.viljandigymnaasium.edu.ee/et/kontakt</t>
  </si>
  <si>
    <t>ene.nobel@vilgym.edu.ee</t>
  </si>
  <si>
    <t>Ene Nobel</t>
  </si>
  <si>
    <t>71004 Viljandi linn,</t>
  </si>
  <si>
    <t>Peipsiääre</t>
  </si>
  <si>
    <t>Luunja</t>
  </si>
  <si>
    <t>Kastre</t>
  </si>
  <si>
    <t>Kambja</t>
  </si>
  <si>
    <t>Tartu vald</t>
  </si>
  <si>
    <t>Kanepi</t>
  </si>
  <si>
    <t>Antsla</t>
  </si>
  <si>
    <t>Setomaa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</si>
</sst>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 ####"/>
  </numFmts>
  <fonts count="75">
    <font>
      <sz val="10.0"/>
      <color rgb="FF000000"/>
      <name val="Arial"/>
    </font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1155CC"/>
      <name val="Times New Roman"/>
    </font>
    <font>
      <color rgb="FF000000"/>
      <name val="Times New Roman"/>
    </font>
    <font>
      <color rgb="FF000000"/>
      <name val="&quot;Times New Roman&quot;"/>
    </font>
    <font>
      <sz val="9.0"/>
      <color theme="1"/>
      <name val="Times New Roman"/>
    </font>
    <font>
      <sz val="10.0"/>
      <color rgb="FF646464"/>
      <name val="Times New Roman"/>
    </font>
    <font>
      <u/>
      <sz val="10.0"/>
      <color rgb="FF1155CC"/>
      <name val="Times New Roman"/>
    </font>
    <font>
      <u/>
      <color rgb="FF000000"/>
      <name val="&quot;Times New Roman&quot;"/>
    </font>
    <font>
      <u/>
      <sz val="10.0"/>
      <color rgb="FF0000FF"/>
      <name val="Times New Roman"/>
    </font>
    <font>
      <sz val="10.0"/>
      <color theme="1"/>
      <name val="Arial"/>
    </font>
    <font>
      <sz val="10.0"/>
      <color rgb="FF0000FF"/>
      <name val="Times New Roman"/>
    </font>
    <font>
      <sz val="12.0"/>
      <color theme="1"/>
      <name val="Times New Roman"/>
    </font>
    <font>
      <u/>
      <sz val="10.0"/>
      <color rgb="FF000000"/>
      <name val="Times New Roman"/>
    </font>
    <font>
      <color theme="1"/>
      <name val="Arial"/>
    </font>
    <font>
      <b/>
      <sz val="10.0"/>
      <color rgb="FF3089A9"/>
      <name val="Arial"/>
    </font>
    <font>
      <color rgb="FF000000"/>
      <name val="Arial"/>
    </font>
    <font>
      <b/>
      <color rgb="FFFFFFFF"/>
      <name val="Arial"/>
    </font>
    <font>
      <color rgb="FF646464"/>
      <name val="Arial"/>
    </font>
    <font>
      <b/>
      <sz val="10.0"/>
      <color rgb="FFFFFFFF"/>
      <name val="Arial"/>
    </font>
    <font>
      <b/>
      <sz val="11.0"/>
      <color rgb="FFFFFFFF"/>
      <name val="Arial"/>
    </font>
    <font>
      <b/>
      <color rgb="FF004C6D"/>
      <name val="Arial"/>
    </font>
    <font>
      <u/>
      <color rgb="FF0000FF"/>
    </font>
    <font>
      <u/>
      <color rgb="FF0000FF"/>
    </font>
    <font>
      <u/>
      <color rgb="FF0000FF"/>
    </font>
    <font/>
    <font>
      <b/>
      <sz val="10.0"/>
      <color theme="1"/>
      <name val="Times New Roman"/>
    </font>
    <font>
      <u/>
      <sz val="10.0"/>
      <color theme="1"/>
      <name val="Times New Roman"/>
    </font>
    <font>
      <u/>
      <sz val="10.0"/>
      <color rgb="FF0000FF"/>
      <name val="Times New Roman"/>
    </font>
    <font>
      <u/>
      <sz val="10.0"/>
      <color theme="1"/>
      <name val="Times New Roman"/>
    </font>
    <font>
      <u/>
      <sz val="10.0"/>
      <color theme="1"/>
      <name val="Times New Roman"/>
    </font>
    <font>
      <sz val="10.0"/>
      <color rgb="FF333333"/>
      <name val="Times New Roman"/>
    </font>
    <font>
      <u/>
      <sz val="10.0"/>
      <color theme="1"/>
      <name val="Times New Roman"/>
    </font>
    <font>
      <sz val="10.0"/>
      <color rgb="FF5B5B5B"/>
      <name val="Times New Roman"/>
    </font>
    <font>
      <u/>
      <sz val="10.0"/>
      <color theme="1"/>
      <name val="Times New Roman"/>
    </font>
    <font>
      <u/>
      <sz val="10.0"/>
      <color theme="1"/>
      <name val="Times New Roman"/>
    </font>
    <font>
      <sz val="10.0"/>
      <color rgb="FF202124"/>
      <name val="Arial"/>
    </font>
    <font>
      <u/>
      <sz val="10.0"/>
      <color theme="1"/>
      <name val="Times New Roman"/>
    </font>
    <font>
      <u/>
      <sz val="10.0"/>
      <color rgb="FF0000FF"/>
      <name val="Times New Roman"/>
    </font>
    <font>
      <sz val="10.0"/>
      <color rgb="FF141A41"/>
      <name val="Times New Roman"/>
    </font>
    <font>
      <u/>
      <sz val="10.0"/>
      <color rgb="FF1155CC"/>
      <name val="Times New Roman"/>
    </font>
    <font>
      <sz val="10.0"/>
      <color rgb="FF4E4D4D"/>
      <name val="Times New Roman"/>
    </font>
    <font>
      <sz val="8.0"/>
      <color rgb="FF000000"/>
      <name val="Times New Roman"/>
    </font>
    <font>
      <u/>
      <color rgb="FF1155CC"/>
      <name val="Times New Roman"/>
    </font>
    <font>
      <sz val="10.0"/>
      <color rgb="FF292929"/>
      <name val="Times New Roman"/>
    </font>
    <font>
      <color rgb="FF0000FF"/>
      <name val="Arial"/>
    </font>
    <font>
      <u/>
      <sz val="10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FF"/>
      <name val="Times New Roman"/>
    </font>
    <font>
      <u/>
      <sz val="10.0"/>
      <color rgb="FF0000FF"/>
      <name val="Times New Roman"/>
    </font>
    <font>
      <u/>
      <sz val="10.0"/>
      <color theme="1"/>
      <name val="Times New Roman"/>
    </font>
    <font>
      <u/>
      <sz val="10.0"/>
      <color rgb="FF0000FF"/>
      <name val="Times New Roman"/>
    </font>
    <font>
      <sz val="12.0"/>
      <color rgb="FF000000"/>
      <name val="Times New Roman"/>
    </font>
    <font>
      <sz val="12.0"/>
      <color rgb="FF0000FF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sz val="10.0"/>
      <color rgb="FF222222"/>
      <name val="Times New Roman"/>
    </font>
    <font>
      <u/>
      <sz val="10.0"/>
      <color rgb="FF333333"/>
      <name val="Times New Roman"/>
    </font>
    <font>
      <sz val="10.0"/>
      <color rgb="FF050505"/>
      <name val="Times New Roman"/>
    </font>
    <font>
      <u/>
      <sz val="10.0"/>
      <color rgb="FF141A41"/>
      <name val="Times New Roman"/>
    </font>
    <font>
      <sz val="10.0"/>
      <color rgb="FF002868"/>
      <name val="Times New Roman"/>
    </font>
    <font>
      <u/>
      <sz val="10.0"/>
      <color rgb="FF0000FF"/>
      <name val="Times New Roman"/>
    </font>
    <font>
      <u/>
      <color rgb="FF0000FF"/>
    </font>
    <font>
      <sz val="12.0"/>
      <color theme="1"/>
      <name val="Arial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color theme="1"/>
      <name val="Times New Roman"/>
    </font>
    <font>
      <color rgb="FF0000FF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577399"/>
        <bgColor rgb="FF577399"/>
      </patternFill>
    </fill>
    <fill>
      <patternFill patternType="solid">
        <fgColor rgb="FFF3F3F3"/>
        <bgColor rgb="FFF3F3F3"/>
      </patternFill>
    </fill>
    <fill>
      <patternFill patternType="solid">
        <fgColor rgb="FFFAFAFA"/>
        <bgColor rgb="FFFAFAFA"/>
      </patternFill>
    </fill>
    <fill>
      <patternFill patternType="solid">
        <fgColor rgb="FFF8F8F8"/>
        <bgColor rgb="FFF8F8F8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F9FAFB"/>
        <bgColor rgb="FFF9FAFB"/>
      </patternFill>
    </fill>
    <fill>
      <patternFill patternType="solid">
        <fgColor rgb="FFFEFDFA"/>
        <bgColor rgb="FFFEFDFA"/>
      </patternFill>
    </fill>
    <fill>
      <patternFill patternType="solid">
        <fgColor rgb="FFCCEEFF"/>
        <bgColor rgb="FFCCEE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1A6A90"/>
      </left>
      <right style="thin">
        <color rgb="FF1A6A90"/>
      </right>
    </border>
    <border>
      <left style="thin">
        <color rgb="FF577399"/>
      </left>
      <right style="thin">
        <color rgb="FF577399"/>
      </right>
      <top style="thin">
        <color rgb="FF577399"/>
      </top>
      <bottom style="thin">
        <color rgb="FF577399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Font="1"/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2" numFmtId="164" xfId="0" applyAlignment="1" applyFont="1" applyNumberFormat="1">
      <alignment horizontal="left" readingOrder="0" shrinkToFit="0" vertical="bottom" wrapText="1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horizontal="left" shrinkToFit="0" vertical="bottom" wrapText="1"/>
    </xf>
    <xf borderId="0" fillId="0" fontId="2" numFmtId="164" xfId="0" applyAlignment="1" applyFont="1" applyNumberFormat="1">
      <alignment horizontal="left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2" fontId="5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2" numFmtId="164" xfId="0" applyAlignment="1" applyFont="1" applyNumberFormat="1">
      <alignment horizontal="left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11" numFmtId="0" xfId="0" applyAlignment="1" applyFont="1">
      <alignment horizontal="left" shrinkToFit="0" wrapText="0"/>
    </xf>
    <xf borderId="0" fillId="2" fontId="2" numFmtId="0" xfId="0" applyAlignment="1" applyFont="1">
      <alignment horizontal="left" readingOrder="0" shrinkToFit="0" wrapText="0"/>
    </xf>
    <xf borderId="0" fillId="0" fontId="12" numFmtId="0" xfId="0" applyFont="1"/>
    <xf borderId="0" fillId="0" fontId="2" numFmtId="0" xfId="0" applyAlignment="1" applyFont="1">
      <alignment horizontal="left" readingOrder="0" shrinkToFit="0" wrapText="0"/>
    </xf>
    <xf borderId="0" fillId="0" fontId="13" numFmtId="0" xfId="0" applyAlignment="1" applyFont="1">
      <alignment horizontal="left" shrinkToFit="0" wrapText="0"/>
    </xf>
    <xf borderId="0" fillId="0" fontId="13" numFmtId="0" xfId="0" applyAlignment="1" applyFont="1">
      <alignment horizontal="left" readingOrder="0" shrinkToFit="0" wrapText="0"/>
    </xf>
    <xf borderId="0" fillId="0" fontId="14" numFmtId="0" xfId="0" applyFont="1"/>
    <xf borderId="0" fillId="0" fontId="15" numFmtId="0" xfId="0" applyAlignment="1" applyFont="1">
      <alignment horizontal="left" shrinkToFit="0" wrapText="0"/>
    </xf>
    <xf borderId="0" fillId="0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2" fillId="2" fontId="17" numFmtId="0" xfId="0" applyAlignment="1" applyBorder="1" applyFont="1">
      <alignment horizontal="left" shrinkToFit="0" vertical="bottom" wrapText="0"/>
    </xf>
    <xf borderId="2" fillId="2" fontId="18" numFmtId="0" xfId="0" applyAlignment="1" applyBorder="1" applyFont="1">
      <alignment horizontal="left" readingOrder="0" shrinkToFit="0" wrapText="0"/>
    </xf>
    <xf borderId="2" fillId="2" fontId="16" numFmtId="0" xfId="0" applyAlignment="1" applyBorder="1" applyFont="1">
      <alignment shrinkToFit="0" wrapText="0"/>
    </xf>
    <xf borderId="2" fillId="0" fontId="16" numFmtId="0" xfId="0" applyAlignment="1" applyBorder="1" applyFont="1">
      <alignment shrinkToFit="0" wrapText="0"/>
    </xf>
    <xf borderId="0" fillId="0" fontId="16" numFmtId="0" xfId="0" applyAlignment="1" applyFont="1">
      <alignment shrinkToFit="0" wrapText="0"/>
    </xf>
    <xf borderId="3" fillId="2" fontId="17" numFmtId="0" xfId="0" applyAlignment="1" applyBorder="1" applyFont="1">
      <alignment horizontal="left" shrinkToFit="0" vertical="bottom" wrapText="0"/>
    </xf>
    <xf borderId="4" fillId="2" fontId="18" numFmtId="0" xfId="0" applyAlignment="1" applyBorder="1" applyFont="1">
      <alignment horizontal="left" readingOrder="0" shrinkToFit="0" wrapText="0"/>
    </xf>
    <xf borderId="5" fillId="4" fontId="19" numFmtId="0" xfId="0" applyAlignment="1" applyBorder="1" applyFill="1" applyFont="1">
      <alignment vertical="bottom"/>
    </xf>
    <xf borderId="5" fillId="0" fontId="20" numFmtId="0" xfId="0" applyAlignment="1" applyBorder="1" applyFont="1">
      <alignment horizontal="left" readingOrder="0" shrinkToFit="0" wrapText="0"/>
    </xf>
    <xf borderId="6" fillId="0" fontId="16" numFmtId="0" xfId="0" applyAlignment="1" applyBorder="1" applyFont="1">
      <alignment shrinkToFit="0" wrapText="0"/>
    </xf>
    <xf borderId="5" fillId="4" fontId="19" numFmtId="0" xfId="0" applyAlignment="1" applyBorder="1" applyFont="1">
      <alignment vertical="bottom"/>
    </xf>
    <xf borderId="5" fillId="4" fontId="19" numFmtId="0" xfId="0" applyAlignment="1" applyBorder="1" applyFont="1">
      <alignment vertical="bottom"/>
    </xf>
    <xf borderId="5" fillId="2" fontId="16" numFmtId="0" xfId="0" applyAlignment="1" applyBorder="1" applyFont="1">
      <alignment readingOrder="0" shrinkToFit="0" wrapText="0"/>
    </xf>
    <xf borderId="7" fillId="2" fontId="16" numFmtId="0" xfId="0" applyAlignment="1" applyBorder="1" applyFont="1">
      <alignment shrinkToFit="0" wrapText="0"/>
    </xf>
    <xf borderId="0" fillId="2" fontId="16" numFmtId="0" xfId="0" applyAlignment="1" applyFont="1">
      <alignment shrinkToFit="0" wrapText="0"/>
    </xf>
    <xf borderId="8" fillId="4" fontId="21" numFmtId="0" xfId="0" applyAlignment="1" applyBorder="1" applyFont="1">
      <alignment horizontal="left" readingOrder="0" shrinkToFit="0" vertical="center" wrapText="1"/>
    </xf>
    <xf borderId="8" fillId="4" fontId="22" numFmtId="0" xfId="0" applyAlignment="1" applyBorder="1" applyFont="1">
      <alignment horizontal="left" shrinkToFit="0" vertical="center" wrapText="1"/>
    </xf>
    <xf borderId="0" fillId="4" fontId="22" numFmtId="0" xfId="0" applyAlignment="1" applyFont="1">
      <alignment horizontal="left" shrinkToFit="0" vertical="center" wrapText="1"/>
    </xf>
    <xf borderId="9" fillId="5" fontId="23" numFmtId="0" xfId="0" applyAlignment="1" applyBorder="1" applyFill="1" applyFont="1">
      <alignment horizontal="left" shrinkToFit="0" vertical="center" wrapText="1"/>
    </xf>
    <xf borderId="0" fillId="5" fontId="23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wrapText="1"/>
    </xf>
    <xf borderId="0" fillId="0" fontId="24" numFmtId="0" xfId="0" applyAlignment="1" applyFont="1">
      <alignment horizontal="left" shrinkToFit="0" wrapText="1"/>
    </xf>
    <xf borderId="0" fillId="2" fontId="6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27" numFmtId="0" xfId="0" applyAlignment="1" applyFont="1">
      <alignment horizontal="left" shrinkToFit="0" wrapText="1"/>
    </xf>
    <xf borderId="0" fillId="0" fontId="27" numFmtId="0" xfId="0" applyAlignment="1" applyFont="1">
      <alignment shrinkToFit="0" wrapText="0"/>
    </xf>
    <xf borderId="0" fillId="0" fontId="28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8" numFmtId="0" xfId="0" applyAlignment="1" applyFont="1">
      <alignment horizontal="left"/>
    </xf>
    <xf borderId="0" fillId="0" fontId="28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29" numFmtId="0" xfId="0" applyAlignment="1" applyFont="1">
      <alignment horizontal="left"/>
    </xf>
    <xf borderId="0" fillId="0" fontId="30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31" numFmtId="0" xfId="0" applyAlignment="1" applyFont="1">
      <alignment horizontal="left"/>
    </xf>
    <xf borderId="0" fillId="6" fontId="1" numFmtId="0" xfId="0" applyAlignment="1" applyFill="1" applyFont="1">
      <alignment horizontal="left"/>
    </xf>
    <xf borderId="0" fillId="7" fontId="32" numFmtId="0" xfId="0" applyAlignment="1" applyFill="1" applyFont="1">
      <alignment horizontal="left"/>
    </xf>
    <xf borderId="0" fillId="0" fontId="13" numFmtId="0" xfId="0" applyFont="1"/>
    <xf borderId="0" fillId="0" fontId="28" numFmtId="0" xfId="0" applyFont="1"/>
    <xf borderId="0" fillId="2" fontId="33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34" numFmtId="0" xfId="0" applyAlignment="1" applyFont="1">
      <alignment horizontal="left" shrinkToFit="0" wrapText="0"/>
    </xf>
    <xf borderId="0" fillId="2" fontId="35" numFmtId="0" xfId="0" applyAlignment="1" applyFont="1">
      <alignment horizontal="left"/>
    </xf>
    <xf borderId="0" fillId="0" fontId="28" numFmtId="0" xfId="0" applyAlignment="1" applyFont="1">
      <alignment shrinkToFit="0" vertical="bottom" wrapText="0"/>
    </xf>
    <xf borderId="0" fillId="0" fontId="28" numFmtId="0" xfId="0" applyAlignment="1" applyFont="1">
      <alignment shrinkToFit="0" wrapText="0"/>
    </xf>
    <xf borderId="1" fillId="0" fontId="28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ont="1">
      <alignment shrinkToFit="0" wrapText="0"/>
    </xf>
    <xf borderId="0" fillId="0" fontId="36" numFmtId="0" xfId="0" applyAlignment="1" applyFont="1">
      <alignment shrinkToFit="0" wrapText="0"/>
    </xf>
    <xf borderId="0" fillId="2" fontId="1" numFmtId="0" xfId="0" applyAlignment="1" applyFont="1">
      <alignment horizontal="left" shrinkToFit="0" wrapText="0"/>
    </xf>
    <xf borderId="0" fillId="2" fontId="37" numFmtId="0" xfId="0" applyAlignment="1" applyFont="1">
      <alignment shrinkToFit="0" wrapText="0"/>
    </xf>
    <xf borderId="0" fillId="2" fontId="38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0"/>
    </xf>
    <xf borderId="0" fillId="0" fontId="28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39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1"/>
    </xf>
    <xf borderId="0" fillId="0" fontId="40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2" fontId="33" numFmtId="0" xfId="0" applyAlignment="1" applyFont="1">
      <alignment shrinkToFit="0" wrapText="0"/>
    </xf>
    <xf borderId="0" fillId="2" fontId="33" numFmtId="0" xfId="0" applyAlignment="1" applyFont="1">
      <alignment horizontal="left" shrinkToFit="0" wrapText="0"/>
    </xf>
    <xf borderId="0" fillId="2" fontId="41" numFmtId="0" xfId="0" applyAlignment="1" applyFont="1">
      <alignment horizontal="left" shrinkToFit="0" wrapText="0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shrinkToFit="0" wrapText="1"/>
    </xf>
    <xf borderId="1" fillId="0" fontId="28" numFmtId="0" xfId="0" applyAlignment="1" applyBorder="1" applyFont="1">
      <alignment horizontal="left" shrinkToFit="0" vertical="bottom" wrapText="0"/>
    </xf>
    <xf borderId="0" fillId="0" fontId="42" numFmtId="0" xfId="0" applyAlignment="1" applyFont="1">
      <alignment horizontal="left"/>
    </xf>
    <xf borderId="0" fillId="8" fontId="43" numFmtId="0" xfId="0" applyAlignment="1" applyFill="1" applyFont="1">
      <alignment horizontal="left"/>
    </xf>
    <xf borderId="0" fillId="2" fontId="44" numFmtId="0" xfId="0" applyAlignment="1" applyFont="1">
      <alignment horizontal="left"/>
    </xf>
    <xf borderId="0" fillId="0" fontId="45" numFmtId="0" xfId="0" applyAlignment="1" applyFont="1">
      <alignment horizontal="left"/>
    </xf>
    <xf borderId="0" fillId="2" fontId="46" numFmtId="0" xfId="0" applyAlignment="1" applyFont="1">
      <alignment horizontal="left"/>
    </xf>
    <xf borderId="0" fillId="0" fontId="47" numFmtId="0" xfId="0" applyFont="1"/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48" numFmtId="0" xfId="0" applyAlignment="1" applyFont="1">
      <alignment shrinkToFit="0" wrapText="0"/>
    </xf>
    <xf borderId="0" fillId="0" fontId="49" numFmtId="0" xfId="0" applyAlignment="1" applyFont="1">
      <alignment shrinkToFit="0" wrapText="0"/>
    </xf>
    <xf borderId="0" fillId="0" fontId="50" numFmtId="0" xfId="0" applyAlignment="1" applyFont="1">
      <alignment shrinkToFit="0" wrapText="1"/>
    </xf>
    <xf borderId="0" fillId="0" fontId="50" numFmtId="0" xfId="0" applyFont="1"/>
    <xf borderId="0" fillId="0" fontId="51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0" fontId="47" numFmtId="0" xfId="0" applyAlignment="1" applyFont="1">
      <alignment shrinkToFit="0" wrapText="1"/>
    </xf>
    <xf borderId="0" fillId="0" fontId="16" numFmtId="0" xfId="0" applyFont="1"/>
    <xf borderId="0" fillId="9" fontId="28" numFmtId="0" xfId="0" applyAlignment="1" applyFill="1" applyFont="1">
      <alignment horizontal="left" shrinkToFit="0" vertical="bottom" wrapText="0"/>
    </xf>
    <xf borderId="0" fillId="9" fontId="3" numFmtId="0" xfId="0" applyAlignment="1" applyFont="1">
      <alignment horizontal="left" shrinkToFit="0" vertical="bottom" wrapText="0"/>
    </xf>
    <xf borderId="0" fillId="9" fontId="28" numFmtId="0" xfId="0" applyAlignment="1" applyFont="1">
      <alignment horizontal="left" shrinkToFit="0" wrapText="0"/>
    </xf>
    <xf borderId="1" fillId="9" fontId="28" numFmtId="0" xfId="0" applyAlignment="1" applyBorder="1" applyFont="1">
      <alignment horizontal="left" shrinkToFit="0" vertical="bottom" wrapText="0"/>
    </xf>
    <xf borderId="0" fillId="9" fontId="1" numFmtId="0" xfId="0" applyAlignment="1" applyFont="1">
      <alignment horizontal="left" shrinkToFit="0" wrapText="0"/>
    </xf>
    <xf borderId="0" fillId="9" fontId="52" numFmtId="0" xfId="0" applyAlignment="1" applyFont="1">
      <alignment horizontal="left" shrinkToFit="0" wrapText="0"/>
    </xf>
    <xf borderId="0" fillId="0" fontId="0" numFmtId="0" xfId="0" applyFont="1"/>
    <xf borderId="0" fillId="0" fontId="18" numFmtId="0" xfId="0" applyFont="1"/>
    <xf borderId="0" fillId="9" fontId="53" numFmtId="0" xfId="0" applyAlignment="1" applyFont="1">
      <alignment horizontal="left" shrinkToFit="0" wrapText="0"/>
    </xf>
    <xf borderId="0" fillId="9" fontId="50" numFmtId="0" xfId="0" applyAlignment="1" applyFont="1">
      <alignment shrinkToFit="0" wrapText="1"/>
    </xf>
    <xf borderId="0" fillId="9" fontId="50" numFmtId="0" xfId="0" applyFont="1"/>
    <xf borderId="0" fillId="9" fontId="51" numFmtId="0" xfId="0" applyAlignment="1" applyFont="1">
      <alignment shrinkToFit="0" wrapText="1"/>
    </xf>
    <xf borderId="0" fillId="0" fontId="2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54" numFmtId="0" xfId="0" applyAlignment="1" applyFont="1">
      <alignment horizontal="left"/>
    </xf>
    <xf borderId="0" fillId="0" fontId="55" numFmtId="0" xfId="0" applyAlignment="1" applyFont="1">
      <alignment horizontal="left"/>
    </xf>
    <xf borderId="0" fillId="2" fontId="1" numFmtId="0" xfId="0" applyAlignment="1" applyFont="1">
      <alignment horizontal="left" shrinkToFit="0" wrapText="1"/>
    </xf>
    <xf borderId="0" fillId="0" fontId="14" numFmtId="0" xfId="0" applyAlignment="1" applyFont="1">
      <alignment horizontal="left"/>
    </xf>
    <xf borderId="0" fillId="2" fontId="1" numFmtId="0" xfId="0" applyAlignment="1" applyFont="1">
      <alignment horizontal="left" vertical="top"/>
    </xf>
    <xf borderId="0" fillId="0" fontId="56" numFmtId="0" xfId="0" applyAlignment="1" applyFont="1">
      <alignment horizontal="left"/>
    </xf>
    <xf borderId="0" fillId="2" fontId="55" numFmtId="0" xfId="0" applyAlignment="1" applyFont="1">
      <alignment horizontal="left"/>
    </xf>
    <xf borderId="0" fillId="0" fontId="3" numFmtId="0" xfId="0" applyFont="1"/>
    <xf borderId="0" fillId="2" fontId="57" numFmtId="0" xfId="0" applyAlignment="1" applyFont="1">
      <alignment horizontal="left"/>
    </xf>
    <xf borderId="0" fillId="7" fontId="2" numFmtId="0" xfId="0" applyAlignment="1" applyFont="1">
      <alignment horizontal="left"/>
    </xf>
    <xf borderId="0" fillId="7" fontId="58" numFmtId="0" xfId="0" applyAlignment="1" applyFont="1">
      <alignment horizontal="left"/>
    </xf>
    <xf borderId="0" fillId="0" fontId="59" numFmtId="0" xfId="0" applyAlignment="1" applyFont="1">
      <alignment horizontal="left"/>
    </xf>
    <xf borderId="0" fillId="10" fontId="2" numFmtId="0" xfId="0" applyFill="1" applyFont="1"/>
    <xf borderId="0" fillId="2" fontId="60" numFmtId="0" xfId="0" applyAlignment="1" applyFont="1">
      <alignment horizontal="left"/>
    </xf>
    <xf borderId="0" fillId="11" fontId="2" numFmtId="0" xfId="0" applyAlignment="1" applyFill="1" applyFont="1">
      <alignment horizontal="left"/>
    </xf>
    <xf borderId="0" fillId="2" fontId="61" numFmtId="0" xfId="0" applyAlignment="1" applyFont="1">
      <alignment horizontal="left"/>
    </xf>
    <xf borderId="0" fillId="2" fontId="62" numFmtId="0" xfId="0" applyAlignment="1" applyFont="1">
      <alignment horizontal="left"/>
    </xf>
    <xf borderId="0" fillId="2" fontId="63" numFmtId="0" xfId="0" applyAlignment="1" applyFont="1">
      <alignment horizontal="left"/>
    </xf>
    <xf borderId="0" fillId="0" fontId="33" numFmtId="0" xfId="0" applyAlignment="1" applyFont="1">
      <alignment horizontal="left"/>
    </xf>
    <xf borderId="0" fillId="0" fontId="64" numFmtId="0" xfId="0" applyAlignment="1" applyFont="1">
      <alignment horizontal="left"/>
    </xf>
    <xf borderId="0" fillId="12" fontId="2" numFmtId="0" xfId="0" applyAlignment="1" applyFill="1" applyFont="1">
      <alignment horizontal="left"/>
    </xf>
    <xf borderId="0" fillId="0" fontId="2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0" fillId="2" fontId="13" numFmtId="0" xfId="0" applyAlignment="1" applyFont="1">
      <alignment horizontal="left"/>
    </xf>
    <xf borderId="0" fillId="0" fontId="3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0" fillId="0" fontId="55" numFmtId="0" xfId="0" applyFont="1"/>
    <xf borderId="0" fillId="0" fontId="3" numFmtId="0" xfId="0" applyAlignment="1" applyFont="1">
      <alignment horizontal="left" shrinkToFit="0" wrapText="0"/>
    </xf>
    <xf borderId="0" fillId="0" fontId="65" numFmtId="0" xfId="0" applyAlignment="1" applyFont="1">
      <alignment horizontal="left" shrinkToFit="0" wrapText="1"/>
    </xf>
    <xf borderId="0" fillId="0" fontId="66" numFmtId="0" xfId="0" applyFont="1"/>
    <xf borderId="0" fillId="0" fontId="16" numFmtId="0" xfId="0" applyAlignment="1" applyFont="1">
      <alignment shrinkToFit="0" wrapText="0"/>
    </xf>
    <xf borderId="0" fillId="0" fontId="16" numFmtId="0" xfId="0" applyAlignment="1" applyFont="1">
      <alignment readingOrder="0" shrinkToFit="0" wrapText="0"/>
    </xf>
    <xf borderId="0" fillId="0" fontId="47" numFmtId="0" xfId="0" applyAlignment="1" applyFont="1">
      <alignment shrinkToFit="0" wrapText="0"/>
    </xf>
    <xf borderId="0" fillId="0" fontId="67" numFmtId="0" xfId="0" applyFont="1"/>
    <xf borderId="0" fillId="2" fontId="68" numFmtId="0" xfId="0" applyAlignment="1" applyFont="1">
      <alignment shrinkToFit="0" wrapText="0"/>
    </xf>
    <xf borderId="0" fillId="2" fontId="69" numFmtId="0" xfId="0" applyAlignment="1" applyFont="1">
      <alignment shrinkToFit="0" wrapText="0"/>
    </xf>
    <xf borderId="0" fillId="2" fontId="70" numFmtId="0" xfId="0" applyAlignment="1" applyFont="1">
      <alignment horizontal="left" shrinkToFit="0" wrapText="0"/>
    </xf>
    <xf borderId="0" fillId="2" fontId="71" numFmtId="0" xfId="0" applyAlignment="1" applyFont="1">
      <alignment horizontal="left" shrinkToFit="0" wrapText="0"/>
    </xf>
    <xf borderId="0" fillId="2" fontId="72" numFmtId="0" xfId="0" applyAlignment="1" applyFont="1">
      <alignment horizontal="left" shrinkToFit="0" vertical="top" wrapText="0"/>
    </xf>
    <xf borderId="0" fillId="2" fontId="2" numFmtId="0" xfId="0" applyAlignment="1" applyFont="1">
      <alignment horizontal="left" shrinkToFit="0" vertical="top" wrapText="0"/>
    </xf>
    <xf borderId="0" fillId="0" fontId="73" numFmtId="0" xfId="0" applyFont="1"/>
    <xf borderId="0" fillId="0" fontId="74" numFmtId="0" xfId="0" applyFont="1"/>
    <xf borderId="0" fillId="0" fontId="1" numFmtId="0" xfId="0" applyAlignment="1" applyFont="1">
      <alignment horizontal="left" shrinkToFit="0" wrapText="1"/>
    </xf>
    <xf borderId="0" fillId="2" fontId="2" numFmtId="0" xfId="0" applyFont="1"/>
    <xf borderId="0" fillId="0" fontId="16" numFmtId="0" xfId="0" applyFont="1"/>
  </cellXfs>
  <cellStyles count="1">
    <cellStyle xfId="0" name="Normal" builtinId="0"/>
  </cellStyles>
  <dxfs count="2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638175</xdr:colOff>
      <xdr:row>0</xdr:row>
      <xdr:rowOff>0</xdr:rowOff>
    </xdr:from>
    <xdr:ext cx="2276475" cy="2276475"/>
    <xdr:pic>
      <xdr:nvPicPr>
        <xdr:cNvPr id="54568471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1657350</xdr:colOff>
      <xdr:row>0</xdr:row>
      <xdr:rowOff>0</xdr:rowOff>
    </xdr:from>
    <xdr:ext cx="4438650" cy="2276475"/>
    <xdr:pic>
      <xdr:nvPicPr>
        <xdr:cNvPr id="930944540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3F5C"/>
      </a:accent1>
      <a:accent2>
        <a:srgbClr val="2F4B7C"/>
      </a:accent2>
      <a:accent3>
        <a:srgbClr val="665191"/>
      </a:accent3>
      <a:accent4>
        <a:srgbClr val="A05195"/>
      </a:accent4>
      <a:accent5>
        <a:srgbClr val="D45087"/>
      </a:accent5>
      <a:accent6>
        <a:srgbClr val="F95D6A"/>
      </a:accent6>
      <a:hlink>
        <a:srgbClr val="202124"/>
      </a:hlink>
      <a:folHlink>
        <a:srgbClr val="20212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odi.ee/" TargetMode="External"/><Relationship Id="rId194" Type="http://schemas.openxmlformats.org/officeDocument/2006/relationships/hyperlink" Target="https://tmk.tartuvald.ee/?p=304" TargetMode="External"/><Relationship Id="rId193" Type="http://schemas.openxmlformats.org/officeDocument/2006/relationships/hyperlink" Target="https://tmk.tartuvald.ee/?p=296" TargetMode="External"/><Relationship Id="rId192" Type="http://schemas.openxmlformats.org/officeDocument/2006/relationships/hyperlink" Target="https://tmk.tartuvald.ee/?p=282" TargetMode="External"/><Relationship Id="rId191" Type="http://schemas.openxmlformats.org/officeDocument/2006/relationships/hyperlink" Target="http://tmk.tartuvald.ee/" TargetMode="External"/><Relationship Id="rId187" Type="http://schemas.openxmlformats.org/officeDocument/2006/relationships/hyperlink" Target="https://tartusport.ee/hooned/spordihooned/variku-spordihoone/" TargetMode="External"/><Relationship Id="rId186" Type="http://schemas.openxmlformats.org/officeDocument/2006/relationships/hyperlink" Target="http://www.sparkdemo.ee/" TargetMode="External"/><Relationship Id="rId185" Type="http://schemas.openxmlformats.org/officeDocument/2006/relationships/hyperlink" Target="http://www.kunstimuuseum.ut.ee/" TargetMode="External"/><Relationship Id="rId184" Type="http://schemas.openxmlformats.org/officeDocument/2006/relationships/hyperlink" Target="http://www.arena.ee/" TargetMode="External"/><Relationship Id="rId189" Type="http://schemas.openxmlformats.org/officeDocument/2006/relationships/hyperlink" Target="http://www.tartutants.ee/" TargetMode="External"/><Relationship Id="rId188" Type="http://schemas.openxmlformats.org/officeDocument/2006/relationships/hyperlink" Target="http://www.fatartukalev.ee/" TargetMode="External"/><Relationship Id="rId183" Type="http://schemas.openxmlformats.org/officeDocument/2006/relationships/hyperlink" Target="https://www.aparaaditehas.ee/majalised/armastuse-saal" TargetMode="External"/><Relationship Id="rId182" Type="http://schemas.openxmlformats.org/officeDocument/2006/relationships/hyperlink" Target="https://vspahotel.ee/konverentsikeskus/v-konverentsikeskus/" TargetMode="External"/><Relationship Id="rId181" Type="http://schemas.openxmlformats.org/officeDocument/2006/relationships/hyperlink" Target="https://www.facebook.com/krokstartu" TargetMode="External"/><Relationship Id="rId180" Type="http://schemas.openxmlformats.org/officeDocument/2006/relationships/hyperlink" Target="https://www.facebook.com/kultuuriklubiSalong" TargetMode="External"/><Relationship Id="rId176" Type="http://schemas.openxmlformats.org/officeDocument/2006/relationships/hyperlink" Target="https://sport.ut.ee/locations/tartu-ulikooli-staadion/" TargetMode="External"/><Relationship Id="rId297" Type="http://schemas.openxmlformats.org/officeDocument/2006/relationships/hyperlink" Target="mailto:kauksi@raamat.polva.ee" TargetMode="External"/><Relationship Id="rId175" Type="http://schemas.openxmlformats.org/officeDocument/2006/relationships/hyperlink" Target="http://www.tartusport.ee/hooned/staadionid/tamme-staadioni-kompleks/" TargetMode="External"/><Relationship Id="rId296" Type="http://schemas.openxmlformats.org/officeDocument/2006/relationships/hyperlink" Target="mailto:ahja@raamat.polva.ee" TargetMode="External"/><Relationship Id="rId174" Type="http://schemas.openxmlformats.org/officeDocument/2006/relationships/hyperlink" Target="http://www.sport.ut.ee/" TargetMode="External"/><Relationship Id="rId295" Type="http://schemas.openxmlformats.org/officeDocument/2006/relationships/hyperlink" Target="mailto:kati@raamat.polva.ee" TargetMode="External"/><Relationship Id="rId173" Type="http://schemas.openxmlformats.org/officeDocument/2006/relationships/hyperlink" Target="https://tartusport.ee/hooned/spordihooned/a-le-coq-sport-spordimaja" TargetMode="External"/><Relationship Id="rId294" Type="http://schemas.openxmlformats.org/officeDocument/2006/relationships/hyperlink" Target="http://www.raamat.polva.ee/" TargetMode="External"/><Relationship Id="rId179" Type="http://schemas.openxmlformats.org/officeDocument/2006/relationships/hyperlink" Target="http://www.tartuloodusmaja.ee/" TargetMode="External"/><Relationship Id="rId178" Type="http://schemas.openxmlformats.org/officeDocument/2006/relationships/hyperlink" Target="https://tntk.tartu.ee/lille-noortekeskus" TargetMode="External"/><Relationship Id="rId299" Type="http://schemas.openxmlformats.org/officeDocument/2006/relationships/hyperlink" Target="mailto:himmaste@raamat.polva.ee" TargetMode="External"/><Relationship Id="rId177" Type="http://schemas.openxmlformats.org/officeDocument/2006/relationships/hyperlink" Target="https://tntk.tartu.ee/anne-noortekeskus" TargetMode="External"/><Relationship Id="rId298" Type="http://schemas.openxmlformats.org/officeDocument/2006/relationships/hyperlink" Target="mailto:mooste@raamat.polva.ee" TargetMode="External"/><Relationship Id="rId198" Type="http://schemas.openxmlformats.org/officeDocument/2006/relationships/hyperlink" Target="https://tmk.tartuvald.ee/?p=1901" TargetMode="External"/><Relationship Id="rId197" Type="http://schemas.openxmlformats.org/officeDocument/2006/relationships/hyperlink" Target="https://tmk.tartuvald.ee/?p=1906" TargetMode="External"/><Relationship Id="rId196" Type="http://schemas.openxmlformats.org/officeDocument/2006/relationships/hyperlink" Target="http://tabivereraamatukogu.wordpress.com" TargetMode="External"/><Relationship Id="rId195" Type="http://schemas.openxmlformats.org/officeDocument/2006/relationships/hyperlink" Target="https://tmk.tartuvald.ee/?p=309" TargetMode="External"/><Relationship Id="rId199" Type="http://schemas.openxmlformats.org/officeDocument/2006/relationships/hyperlink" Target="http://raamatukogu.onepagefree.com/?id=18181&amp;" TargetMode="External"/><Relationship Id="rId150" Type="http://schemas.openxmlformats.org/officeDocument/2006/relationships/hyperlink" Target="http://www.kogogallery.ee/" TargetMode="External"/><Relationship Id="rId271" Type="http://schemas.openxmlformats.org/officeDocument/2006/relationships/hyperlink" Target="https://www.facebook.com/profile.php?id=100057584523781" TargetMode="External"/><Relationship Id="rId392" Type="http://schemas.openxmlformats.org/officeDocument/2006/relationships/hyperlink" Target="mailto:verskatalu@setomuuseum.ee" TargetMode="External"/><Relationship Id="rId270" Type="http://schemas.openxmlformats.org/officeDocument/2006/relationships/hyperlink" Target="http://www.yg.rapina.ee/" TargetMode="External"/><Relationship Id="rId391" Type="http://schemas.openxmlformats.org/officeDocument/2006/relationships/hyperlink" Target="https://www.setomuuseum.ee/" TargetMode="External"/><Relationship Id="rId390" Type="http://schemas.openxmlformats.org/officeDocument/2006/relationships/hyperlink" Target="mailto:saatse@setomuuseum.ee" TargetMode="External"/><Relationship Id="rId1" Type="http://schemas.openxmlformats.org/officeDocument/2006/relationships/hyperlink" Target="mailto:marina.losak@peipsivald.ee" TargetMode="External"/><Relationship Id="rId2" Type="http://schemas.openxmlformats.org/officeDocument/2006/relationships/hyperlink" Target="https://www.facebook.com/koosarahvamaja/" TargetMode="External"/><Relationship Id="rId3" Type="http://schemas.openxmlformats.org/officeDocument/2006/relationships/hyperlink" Target="mailto:koosa.noorteklubi@gmail.com" TargetMode="External"/><Relationship Id="rId149" Type="http://schemas.openxmlformats.org/officeDocument/2006/relationships/hyperlink" Target="https://www.facebook.com/Gildi-galerii-573217399401495/" TargetMode="External"/><Relationship Id="rId4" Type="http://schemas.openxmlformats.org/officeDocument/2006/relationships/hyperlink" Target="https://www.facebook.com/Pala-Kultuurimaja-257244520972927/" TargetMode="External"/><Relationship Id="rId148" Type="http://schemas.openxmlformats.org/officeDocument/2006/relationships/hyperlink" Target="http://www.pallasart.ee/galerii-pallas/" TargetMode="External"/><Relationship Id="rId269" Type="http://schemas.openxmlformats.org/officeDocument/2006/relationships/hyperlink" Target="http://www.yg.rapina.ee/" TargetMode="External"/><Relationship Id="rId9" Type="http://schemas.openxmlformats.org/officeDocument/2006/relationships/hyperlink" Target="mailto:vara.kultuur@gmail.com" TargetMode="External"/><Relationship Id="rId143" Type="http://schemas.openxmlformats.org/officeDocument/2006/relationships/hyperlink" Target="http://www.utlib.ut.ee/" TargetMode="External"/><Relationship Id="rId264" Type="http://schemas.openxmlformats.org/officeDocument/2006/relationships/hyperlink" Target="http://ariabi.ee/" TargetMode="External"/><Relationship Id="rId385" Type="http://schemas.openxmlformats.org/officeDocument/2006/relationships/hyperlink" Target="https://www.facebook.com/Antsla-Jahikeskus-329399707408140" TargetMode="External"/><Relationship Id="rId142" Type="http://schemas.openxmlformats.org/officeDocument/2006/relationships/hyperlink" Target="http://www.luts.ee/" TargetMode="External"/><Relationship Id="rId263" Type="http://schemas.openxmlformats.org/officeDocument/2006/relationships/hyperlink" Target="mailto:karmen.pedosk@rapina.ee" TargetMode="External"/><Relationship Id="rId384" Type="http://schemas.openxmlformats.org/officeDocument/2006/relationships/hyperlink" Target="mailto:helger.kavant@gmail.com" TargetMode="External"/><Relationship Id="rId141" Type="http://schemas.openxmlformats.org/officeDocument/2006/relationships/hyperlink" Target="https://www.luterlik.edu.ee/athena-keskus/" TargetMode="External"/><Relationship Id="rId262" Type="http://schemas.openxmlformats.org/officeDocument/2006/relationships/hyperlink" Target="mailto:kaili.ratsep@rapina.ee" TargetMode="External"/><Relationship Id="rId383" Type="http://schemas.openxmlformats.org/officeDocument/2006/relationships/hyperlink" Target="https://www.facebook.com/urvaste.villike" TargetMode="External"/><Relationship Id="rId140" Type="http://schemas.openxmlformats.org/officeDocument/2006/relationships/hyperlink" Target="http://www.apollokino.ee/" TargetMode="External"/><Relationship Id="rId261" Type="http://schemas.openxmlformats.org/officeDocument/2006/relationships/hyperlink" Target="http://www.rapina.ee/raamatukogud/-/asset_publisher/jECcjGNrkJ0H/content/linte-raamatukogu-kulakesk-1?redirect=http%3A%2F%2Fwww.rapina.ee%2Fraamatukogud%3Fp_p_id%3D101_INSTANCE_jECcjGNrkJ0H%26p_p_lifecycle%3D0%26p_p_state%3Dnormal%26p_p_mode%3Dview%26p_p_col_id%3Dcolumn-2%26p_p_col_count%3D1" TargetMode="External"/><Relationship Id="rId382" Type="http://schemas.openxmlformats.org/officeDocument/2006/relationships/hyperlink" Target="mailto:helger.kavant@gmail.com" TargetMode="External"/><Relationship Id="rId5" Type="http://schemas.openxmlformats.org/officeDocument/2006/relationships/hyperlink" Target="mailto:margit.soieva@pala.ee" TargetMode="External"/><Relationship Id="rId147" Type="http://schemas.openxmlformats.org/officeDocument/2006/relationships/hyperlink" Target="http://www.kammivabrik.ee/" TargetMode="External"/><Relationship Id="rId268" Type="http://schemas.openxmlformats.org/officeDocument/2006/relationships/hyperlink" Target="http://www.yg.rapina.ee/" TargetMode="External"/><Relationship Id="rId389" Type="http://schemas.openxmlformats.org/officeDocument/2006/relationships/hyperlink" Target="https://www.setomuuseum.ee/" TargetMode="External"/><Relationship Id="rId6" Type="http://schemas.openxmlformats.org/officeDocument/2006/relationships/hyperlink" Target="https://www.facebook.com/rannarahvamaja/" TargetMode="External"/><Relationship Id="rId146" Type="http://schemas.openxmlformats.org/officeDocument/2006/relationships/hyperlink" Target="http://www.kammivabrik.ee/" TargetMode="External"/><Relationship Id="rId267" Type="http://schemas.openxmlformats.org/officeDocument/2006/relationships/hyperlink" Target="http://www.yg.rapina.ee/" TargetMode="External"/><Relationship Id="rId388" Type="http://schemas.openxmlformats.org/officeDocument/2006/relationships/hyperlink" Target="mailto:obinitsa@setomuuseum.ee" TargetMode="External"/><Relationship Id="rId7" Type="http://schemas.openxmlformats.org/officeDocument/2006/relationships/hyperlink" Target="mailto:ljubov.raimla@pala.ee" TargetMode="External"/><Relationship Id="rId145" Type="http://schemas.openxmlformats.org/officeDocument/2006/relationships/hyperlink" Target="http://www.loovtartu.ee/lmk/kylastajale/antonius" TargetMode="External"/><Relationship Id="rId266" Type="http://schemas.openxmlformats.org/officeDocument/2006/relationships/hyperlink" Target="mailto:spordikool@rapina.ee" TargetMode="External"/><Relationship Id="rId387" Type="http://schemas.openxmlformats.org/officeDocument/2006/relationships/hyperlink" Target="https://www.setomuuseum.ee/" TargetMode="External"/><Relationship Id="rId8" Type="http://schemas.openxmlformats.org/officeDocument/2006/relationships/hyperlink" Target="http://varasport.eu/kultuur/" TargetMode="External"/><Relationship Id="rId144" Type="http://schemas.openxmlformats.org/officeDocument/2006/relationships/hyperlink" Target="http://www.loovtartu.ee/" TargetMode="External"/><Relationship Id="rId265" Type="http://schemas.openxmlformats.org/officeDocument/2006/relationships/hyperlink" Target="http://spordikool.rapina.ee/" TargetMode="External"/><Relationship Id="rId386" Type="http://schemas.openxmlformats.org/officeDocument/2006/relationships/hyperlink" Target="mailto:antsla.jahikeskus@gmail.com" TargetMode="External"/><Relationship Id="rId260" Type="http://schemas.openxmlformats.org/officeDocument/2006/relationships/hyperlink" Target="mailto:ester.nagland@rapina.ee" TargetMode="External"/><Relationship Id="rId381" Type="http://schemas.openxmlformats.org/officeDocument/2006/relationships/hyperlink" Target="https://www.facebook.com/Vana-Antsla-Teatriait-1237354036291423" TargetMode="External"/><Relationship Id="rId380" Type="http://schemas.openxmlformats.org/officeDocument/2006/relationships/hyperlink" Target="mailto:uks@urvasteseltsimaja.ee" TargetMode="External"/><Relationship Id="rId139" Type="http://schemas.openxmlformats.org/officeDocument/2006/relationships/hyperlink" Target="http://www.apollokino.ee/" TargetMode="External"/><Relationship Id="rId138" Type="http://schemas.openxmlformats.org/officeDocument/2006/relationships/hyperlink" Target="http://www.elektriteater.ee/" TargetMode="External"/><Relationship Id="rId259" Type="http://schemas.openxmlformats.org/officeDocument/2006/relationships/hyperlink" Target="http://raamat.rapina.ee/" TargetMode="External"/><Relationship Id="rId137" Type="http://schemas.openxmlformats.org/officeDocument/2006/relationships/hyperlink" Target="http://www.muuseum.ut.ee/" TargetMode="External"/><Relationship Id="rId258" Type="http://schemas.openxmlformats.org/officeDocument/2006/relationships/hyperlink" Target="mailto:elve.vals@rapina.ee" TargetMode="External"/><Relationship Id="rId379" Type="http://schemas.openxmlformats.org/officeDocument/2006/relationships/hyperlink" Target="http://www.urvasteseltsimaja.ee/" TargetMode="External"/><Relationship Id="rId132" Type="http://schemas.openxmlformats.org/officeDocument/2006/relationships/hyperlink" Target="http://www.tartumus.ee/" TargetMode="External"/><Relationship Id="rId253" Type="http://schemas.openxmlformats.org/officeDocument/2006/relationships/hyperlink" Target="mailto:kristel.zovo@rapina.ee" TargetMode="External"/><Relationship Id="rId374" Type="http://schemas.openxmlformats.org/officeDocument/2006/relationships/hyperlink" Target="https://www.facebook.com/Antsla-Valla-Noored-156626905057535" TargetMode="External"/><Relationship Id="rId495" Type="http://schemas.openxmlformats.org/officeDocument/2006/relationships/hyperlink" Target="http://www.valgark.ee" TargetMode="External"/><Relationship Id="rId131" Type="http://schemas.openxmlformats.org/officeDocument/2006/relationships/hyperlink" Target="http://www.kunstimaja.ee/" TargetMode="External"/><Relationship Id="rId252" Type="http://schemas.openxmlformats.org/officeDocument/2006/relationships/hyperlink" Target="https://noored.rapina.ee/" TargetMode="External"/><Relationship Id="rId373" Type="http://schemas.openxmlformats.org/officeDocument/2006/relationships/hyperlink" Target="https://www.eoc.ee/kogudus/antsla-kraavi-prohvet-eelija-kogudus" TargetMode="External"/><Relationship Id="rId494" Type="http://schemas.openxmlformats.org/officeDocument/2006/relationships/hyperlink" Target="mailto:muuseum@valgamuuseum.ee" TargetMode="External"/><Relationship Id="rId130" Type="http://schemas.openxmlformats.org/officeDocument/2006/relationships/hyperlink" Target="http://www.muuseum.taniloo.ee/" TargetMode="External"/><Relationship Id="rId251" Type="http://schemas.openxmlformats.org/officeDocument/2006/relationships/hyperlink" Target="mailto:mirjam.ojasaar@rapina.ee" TargetMode="External"/><Relationship Id="rId372" Type="http://schemas.openxmlformats.org/officeDocument/2006/relationships/hyperlink" Target="mailto:urvaste@eelk.ee" TargetMode="External"/><Relationship Id="rId493" Type="http://schemas.openxmlformats.org/officeDocument/2006/relationships/hyperlink" Target="https://www.valgamuuseum.ee/kulastajale/" TargetMode="External"/><Relationship Id="rId250" Type="http://schemas.openxmlformats.org/officeDocument/2006/relationships/hyperlink" Target="https://noored.rapina.ee/noortekeskused/veriora-noortekas/" TargetMode="External"/><Relationship Id="rId371" Type="http://schemas.openxmlformats.org/officeDocument/2006/relationships/hyperlink" Target="https://urvaste.eelk.ee/" TargetMode="External"/><Relationship Id="rId492" Type="http://schemas.openxmlformats.org/officeDocument/2006/relationships/hyperlink" Target="mailto:kalmersa@gmail.com" TargetMode="External"/><Relationship Id="rId136" Type="http://schemas.openxmlformats.org/officeDocument/2006/relationships/hyperlink" Target="http://www.botaanikaaed.ut.ee/" TargetMode="External"/><Relationship Id="rId257" Type="http://schemas.openxmlformats.org/officeDocument/2006/relationships/hyperlink" Target="mailto:ilona.oeselg@rapina.ee" TargetMode="External"/><Relationship Id="rId378" Type="http://schemas.openxmlformats.org/officeDocument/2006/relationships/hyperlink" Target="https://www.facebook.com/kaikam2e" TargetMode="External"/><Relationship Id="rId499" Type="http://schemas.openxmlformats.org/officeDocument/2006/relationships/hyperlink" Target="mailto:valgachurch@mail.ru" TargetMode="External"/><Relationship Id="rId135" Type="http://schemas.openxmlformats.org/officeDocument/2006/relationships/hyperlink" Target="http://www.natmuseum.ut.ee/" TargetMode="External"/><Relationship Id="rId256" Type="http://schemas.openxmlformats.org/officeDocument/2006/relationships/hyperlink" Target="mailto:aili.jurmann@rapina.ee" TargetMode="External"/><Relationship Id="rId377" Type="http://schemas.openxmlformats.org/officeDocument/2006/relationships/hyperlink" Target="https://www.facebook.com/boose.selts" TargetMode="External"/><Relationship Id="rId498" Type="http://schemas.openxmlformats.org/officeDocument/2006/relationships/hyperlink" Target="http://www.goldenmary.ee/" TargetMode="External"/><Relationship Id="rId134" Type="http://schemas.openxmlformats.org/officeDocument/2006/relationships/hyperlink" Target="http://www.mm.ee/" TargetMode="External"/><Relationship Id="rId255" Type="http://schemas.openxmlformats.org/officeDocument/2006/relationships/hyperlink" Target="http://www.rapina.ee/raamatukogud/-/asset_publisher/jECcjGNrkJ0H/content/voopsu-raamatukogu?redirect=http%3A%2F%2Fwww.rapina.ee%2Fraamatukogud%3Fp_p_id%3D101_INSTANCE_jECcjGNrkJ0H%26p_p_lifecycle%3D0%26p_p_state%3Dnormal%26p_p_mode%3Dview%26p_p_col_id%3Dcolumn-2%26p_p_col_count%3D1" TargetMode="External"/><Relationship Id="rId376" Type="http://schemas.openxmlformats.org/officeDocument/2006/relationships/hyperlink" Target="https://www.facebook.com/Antsla-Valla-Noored-156626905057535" TargetMode="External"/><Relationship Id="rId497" Type="http://schemas.openxmlformats.org/officeDocument/2006/relationships/hyperlink" Target="mailto:markovich.viktor@gmail.com" TargetMode="External"/><Relationship Id="rId133" Type="http://schemas.openxmlformats.org/officeDocument/2006/relationships/hyperlink" Target="http://www.muuseum.tartu.ee/" TargetMode="External"/><Relationship Id="rId254" Type="http://schemas.openxmlformats.org/officeDocument/2006/relationships/hyperlink" Target="mailto:inga.rozova@rapina.ee" TargetMode="External"/><Relationship Id="rId375" Type="http://schemas.openxmlformats.org/officeDocument/2006/relationships/hyperlink" Target="mailto:erikalaats@gmail.com" TargetMode="External"/><Relationship Id="rId496" Type="http://schemas.openxmlformats.org/officeDocument/2006/relationships/hyperlink" Target="http://tsirguraamat.weebly.com/" TargetMode="External"/><Relationship Id="rId172" Type="http://schemas.openxmlformats.org/officeDocument/2006/relationships/hyperlink" Target="http://www.tartunaitused.ee/" TargetMode="External"/><Relationship Id="rId293" Type="http://schemas.openxmlformats.org/officeDocument/2006/relationships/hyperlink" Target="http://www.raamat.polva.ee/" TargetMode="External"/><Relationship Id="rId171" Type="http://schemas.openxmlformats.org/officeDocument/2006/relationships/hyperlink" Target="http://www.ekl.ee/tartu" TargetMode="External"/><Relationship Id="rId292" Type="http://schemas.openxmlformats.org/officeDocument/2006/relationships/hyperlink" Target="mailto:polvantk@polva.ee" TargetMode="External"/><Relationship Id="rId170" Type="http://schemas.openxmlformats.org/officeDocument/2006/relationships/hyperlink" Target="http://www.salem.ee/" TargetMode="External"/><Relationship Id="rId291" Type="http://schemas.openxmlformats.org/officeDocument/2006/relationships/hyperlink" Target="mailto:polvantk@polva.ee" TargetMode="External"/><Relationship Id="rId290" Type="http://schemas.openxmlformats.org/officeDocument/2006/relationships/hyperlink" Target="https://www.facebook.com/Vastse-Kuuste-Noortekeskus-1914019201994104/" TargetMode="External"/><Relationship Id="rId165" Type="http://schemas.openxmlformats.org/officeDocument/2006/relationships/hyperlink" Target="http://www.tartumaarja.eelk.ee/" TargetMode="External"/><Relationship Id="rId286" Type="http://schemas.openxmlformats.org/officeDocument/2006/relationships/hyperlink" Target="https://www.facebook.com/Ahja-Noortekeskus-178895352201703/" TargetMode="External"/><Relationship Id="rId164" Type="http://schemas.openxmlformats.org/officeDocument/2006/relationships/hyperlink" Target="http://www.kolgata.ee/" TargetMode="External"/><Relationship Id="rId285" Type="http://schemas.openxmlformats.org/officeDocument/2006/relationships/hyperlink" Target="mailto:polvantk.polva@polva.ee" TargetMode="External"/><Relationship Id="rId163" Type="http://schemas.openxmlformats.org/officeDocument/2006/relationships/hyperlink" Target="http://www.neitsimaarja.ee/" TargetMode="External"/><Relationship Id="rId284" Type="http://schemas.openxmlformats.org/officeDocument/2006/relationships/hyperlink" Target="https://www.facebook.com/PolvaNoortekeskus" TargetMode="External"/><Relationship Id="rId162" Type="http://schemas.openxmlformats.org/officeDocument/2006/relationships/hyperlink" Target="https://www.eoc.ee/kogudus/tartu-jumalaema-uinumise-kogudus/" TargetMode="External"/><Relationship Id="rId283" Type="http://schemas.openxmlformats.org/officeDocument/2006/relationships/hyperlink" Target="mailto:polvantk@polva.ee" TargetMode="External"/><Relationship Id="rId169" Type="http://schemas.openxmlformats.org/officeDocument/2006/relationships/hyperlink" Target="http://www.tartu.metodistikirik.ee/" TargetMode="External"/><Relationship Id="rId168" Type="http://schemas.openxmlformats.org/officeDocument/2006/relationships/hyperlink" Target="http://www.eoc.ee/kogudus/tartu-puhade-aleksandrite-kogudus/" TargetMode="External"/><Relationship Id="rId289" Type="http://schemas.openxmlformats.org/officeDocument/2006/relationships/hyperlink" Target="mailto:polvantk@polva.ee" TargetMode="External"/><Relationship Id="rId167" Type="http://schemas.openxmlformats.org/officeDocument/2006/relationships/hyperlink" Target="http://www.tartupeetri.eelk.ee/" TargetMode="External"/><Relationship Id="rId288" Type="http://schemas.openxmlformats.org/officeDocument/2006/relationships/hyperlink" Target="https://www.facebook.com/moostenoortekeskus" TargetMode="External"/><Relationship Id="rId166" Type="http://schemas.openxmlformats.org/officeDocument/2006/relationships/hyperlink" Target="http://www.tartupauluse.ee/" TargetMode="External"/><Relationship Id="rId287" Type="http://schemas.openxmlformats.org/officeDocument/2006/relationships/hyperlink" Target="mailto:polvantk.ahja@polva.ee" TargetMode="External"/><Relationship Id="rId161" Type="http://schemas.openxmlformats.org/officeDocument/2006/relationships/hyperlink" Target="http://www.jaanikirik.ee/" TargetMode="External"/><Relationship Id="rId282" Type="http://schemas.openxmlformats.org/officeDocument/2006/relationships/hyperlink" Target="https://www.facebook.com/PolvaNTK" TargetMode="External"/><Relationship Id="rId160" Type="http://schemas.openxmlformats.org/officeDocument/2006/relationships/hyperlink" Target="http://www.tartu.advent.ee/" TargetMode="External"/><Relationship Id="rId281" Type="http://schemas.openxmlformats.org/officeDocument/2006/relationships/hyperlink" Target="http://www.lootvina.ee/p/meie-eesmargid.html" TargetMode="External"/><Relationship Id="rId280" Type="http://schemas.openxmlformats.org/officeDocument/2006/relationships/hyperlink" Target="https://l.facebook.com/l.php?u=https%3A%2F%2Fwww.google.com%2Fmaps%2Fdir%2F%3Fapi%3D1%26destination%3D58.20813%252C27.07414%26fbclid%3DIwAR2WCFsszDBf6TtStE38Nctd6JZ0k3Kt6RcInopmWOYKTQ0xKp_h-EUrhW0&amp;h=AT2iHDuGhzty-1YCb2B5CALeVIUsTkicM6drzZMCI5KFwha54cLqZKoX16x_sEXaqRI65C2s3woMCF3pSDZmbXlv7k_pYTbgkJWT7EcyqQu9AJACKYiqUl1JsD2RMH9xg9hFyw" TargetMode="External"/><Relationship Id="rId159" Type="http://schemas.openxmlformats.org/officeDocument/2006/relationships/hyperlink" Target="http://www.tartuetk.ee/" TargetMode="External"/><Relationship Id="rId154" Type="http://schemas.openxmlformats.org/officeDocument/2006/relationships/hyperlink" Target="http://www.klubi.tartujazz.ee/" TargetMode="External"/><Relationship Id="rId275" Type="http://schemas.openxmlformats.org/officeDocument/2006/relationships/hyperlink" Target="mailto:rapina@eelk.ee" TargetMode="External"/><Relationship Id="rId396" Type="http://schemas.openxmlformats.org/officeDocument/2006/relationships/hyperlink" Target="mailto:tsaimaja@setomuuseum.ee" TargetMode="External"/><Relationship Id="rId153" Type="http://schemas.openxmlformats.org/officeDocument/2006/relationships/hyperlink" Target="http://www.genklubi.ee/" TargetMode="External"/><Relationship Id="rId274" Type="http://schemas.openxmlformats.org/officeDocument/2006/relationships/hyperlink" Target="mailto:muusikakool@rapina.ee" TargetMode="External"/><Relationship Id="rId395" Type="http://schemas.openxmlformats.org/officeDocument/2006/relationships/hyperlink" Target="https://www.setomuuseum.ee/" TargetMode="External"/><Relationship Id="rId152" Type="http://schemas.openxmlformats.org/officeDocument/2006/relationships/hyperlink" Target="http://www.tym.ee/" TargetMode="External"/><Relationship Id="rId273" Type="http://schemas.openxmlformats.org/officeDocument/2006/relationships/hyperlink" Target="https://muusikakool.rapina.ee/" TargetMode="External"/><Relationship Id="rId394" Type="http://schemas.openxmlformats.org/officeDocument/2006/relationships/hyperlink" Target="mailto:reegimaja@setomuuseum.ee" TargetMode="External"/><Relationship Id="rId151" Type="http://schemas.openxmlformats.org/officeDocument/2006/relationships/hyperlink" Target="http://www.tiigiseltsimaja.tartu.ee/" TargetMode="External"/><Relationship Id="rId272" Type="http://schemas.openxmlformats.org/officeDocument/2006/relationships/hyperlink" Target="http://muusikakool.rapina.ee/" TargetMode="External"/><Relationship Id="rId393" Type="http://schemas.openxmlformats.org/officeDocument/2006/relationships/hyperlink" Target="https://www.setomuuseum.ee/" TargetMode="External"/><Relationship Id="rId158" Type="http://schemas.openxmlformats.org/officeDocument/2006/relationships/hyperlink" Target="http://www.vabankclub.ee/" TargetMode="External"/><Relationship Id="rId279" Type="http://schemas.openxmlformats.org/officeDocument/2006/relationships/hyperlink" Target="mailto:ahja.raamat@polvavald.ee" TargetMode="External"/><Relationship Id="rId157" Type="http://schemas.openxmlformats.org/officeDocument/2006/relationships/hyperlink" Target="http://www.maasikas.com/" TargetMode="External"/><Relationship Id="rId278" Type="http://schemas.openxmlformats.org/officeDocument/2006/relationships/hyperlink" Target="https://puhkaeestis.ee/et/ahja-valla-tuglase-muuseum" TargetMode="External"/><Relationship Id="rId399" Type="http://schemas.openxmlformats.org/officeDocument/2006/relationships/hyperlink" Target="https://www.facebook.com/Setomaa-Noorsoot%C3%B6%C3%B6-1981061721932668/" TargetMode="External"/><Relationship Id="rId156" Type="http://schemas.openxmlformats.org/officeDocument/2006/relationships/hyperlink" Target="http://www.rocknroll.ee/" TargetMode="External"/><Relationship Id="rId277" Type="http://schemas.openxmlformats.org/officeDocument/2006/relationships/hyperlink" Target="mailto:rapina@eaok.ee" TargetMode="External"/><Relationship Id="rId398" Type="http://schemas.openxmlformats.org/officeDocument/2006/relationships/hyperlink" Target="https://www.facebook.com/Setomaa-Noorsoot%C3%B6%C3%B6-1981061721932668/" TargetMode="External"/><Relationship Id="rId155" Type="http://schemas.openxmlformats.org/officeDocument/2006/relationships/hyperlink" Target="http://www.illusion.ee/" TargetMode="External"/><Relationship Id="rId276" Type="http://schemas.openxmlformats.org/officeDocument/2006/relationships/hyperlink" Target="http://www.eelk.ee/rapina" TargetMode="External"/><Relationship Id="rId397" Type="http://schemas.openxmlformats.org/officeDocument/2006/relationships/hyperlink" Target="http://vana.verska.ee/muusikakool/" TargetMode="External"/><Relationship Id="rId40" Type="http://schemas.openxmlformats.org/officeDocument/2006/relationships/hyperlink" Target="mailto:hinnovospert2@gmail.com" TargetMode="External"/><Relationship Id="rId42" Type="http://schemas.openxmlformats.org/officeDocument/2006/relationships/hyperlink" Target="mailto:kokora.kylaselts@mail.ee" TargetMode="External"/><Relationship Id="rId41" Type="http://schemas.openxmlformats.org/officeDocument/2006/relationships/hyperlink" Target="https://www.facebook.com/Kokora-K%C3%BClakeskus-137887716289130/" TargetMode="External"/><Relationship Id="rId44" Type="http://schemas.openxmlformats.org/officeDocument/2006/relationships/hyperlink" Target="mailto:alatskivi@eelk.ee" TargetMode="External"/><Relationship Id="rId43" Type="http://schemas.openxmlformats.org/officeDocument/2006/relationships/hyperlink" Target="mailto:olgasol@hot.ee" TargetMode="External"/><Relationship Id="rId46" Type="http://schemas.openxmlformats.org/officeDocument/2006/relationships/hyperlink" Target="mailto:velabrum@yandex.ru" TargetMode="External"/><Relationship Id="rId45" Type="http://schemas.openxmlformats.org/officeDocument/2006/relationships/hyperlink" Target="http://www.hramy.ee/Nina_Church-of-the-Protection-of-the-Mother-of-God_est.html" TargetMode="External"/><Relationship Id="rId509" Type="http://schemas.openxmlformats.org/officeDocument/2006/relationships/hyperlink" Target="mailto:madli.must@gmail.com" TargetMode="External"/><Relationship Id="rId508" Type="http://schemas.openxmlformats.org/officeDocument/2006/relationships/hyperlink" Target="mailto:anktank@gmail.com" TargetMode="External"/><Relationship Id="rId629" Type="http://schemas.openxmlformats.org/officeDocument/2006/relationships/hyperlink" Target="https://torva.kovtp.ee/treeningud" TargetMode="External"/><Relationship Id="rId503" Type="http://schemas.openxmlformats.org/officeDocument/2006/relationships/hyperlink" Target="mailto:lullemae@gmail.com" TargetMode="External"/><Relationship Id="rId624" Type="http://schemas.openxmlformats.org/officeDocument/2006/relationships/hyperlink" Target="https://www.facebook.com/ritsunoortetuba/" TargetMode="External"/><Relationship Id="rId502" Type="http://schemas.openxmlformats.org/officeDocument/2006/relationships/hyperlink" Target="mailto:valga.peetri-luke@eelk.ee" TargetMode="External"/><Relationship Id="rId623" Type="http://schemas.openxmlformats.org/officeDocument/2006/relationships/hyperlink" Target="https://www.facebook.com/groups/168005730055070/about/" TargetMode="External"/><Relationship Id="rId501" Type="http://schemas.openxmlformats.org/officeDocument/2006/relationships/hyperlink" Target="mailto:vallo.ehasalu@eelk.ee" TargetMode="External"/><Relationship Id="rId622" Type="http://schemas.openxmlformats.org/officeDocument/2006/relationships/hyperlink" Target="https://www.facebook.com/riidaja.noortetuba" TargetMode="External"/><Relationship Id="rId500" Type="http://schemas.openxmlformats.org/officeDocument/2006/relationships/hyperlink" Target="mailto:valgakogudus@gmail.com" TargetMode="External"/><Relationship Id="rId621" Type="http://schemas.openxmlformats.org/officeDocument/2006/relationships/hyperlink" Target="https://torva.kovtp.ee/torva-muusikakool" TargetMode="External"/><Relationship Id="rId507" Type="http://schemas.openxmlformats.org/officeDocument/2006/relationships/hyperlink" Target="mailto:noortepada@gmail.com" TargetMode="External"/><Relationship Id="rId628" Type="http://schemas.openxmlformats.org/officeDocument/2006/relationships/hyperlink" Target="https://torva.kovtp.ee/treeningud" TargetMode="External"/><Relationship Id="rId506" Type="http://schemas.openxmlformats.org/officeDocument/2006/relationships/hyperlink" Target="mailto:valgaank@gmail.com" TargetMode="External"/><Relationship Id="rId627" Type="http://schemas.openxmlformats.org/officeDocument/2006/relationships/hyperlink" Target="https://torva.kovtp.ee/treeningud" TargetMode="External"/><Relationship Id="rId505" Type="http://schemas.openxmlformats.org/officeDocument/2006/relationships/hyperlink" Target="http://www.valgaank.ee/" TargetMode="External"/><Relationship Id="rId626" Type="http://schemas.openxmlformats.org/officeDocument/2006/relationships/hyperlink" Target="https://torva.kovtp.ee/torva-linnaraamatukogu" TargetMode="External"/><Relationship Id="rId504" Type="http://schemas.openxmlformats.org/officeDocument/2006/relationships/hyperlink" Target="mailto:ivo.pill@eelk.ee" TargetMode="External"/><Relationship Id="rId625" Type="http://schemas.openxmlformats.org/officeDocument/2006/relationships/hyperlink" Target="https://torva.kovtp.ee/kontakt-ja-teave-torva-noortekeskus" TargetMode="External"/><Relationship Id="rId48" Type="http://schemas.openxmlformats.org/officeDocument/2006/relationships/hyperlink" Target="mailto:pavel@starover.ee" TargetMode="External"/><Relationship Id="rId47" Type="http://schemas.openxmlformats.org/officeDocument/2006/relationships/hyperlink" Target="mailto:kodavere@eelk.ee" TargetMode="External"/><Relationship Id="rId49" Type="http://schemas.openxmlformats.org/officeDocument/2006/relationships/hyperlink" Target="mailto:pavel@starover.ee" TargetMode="External"/><Relationship Id="rId620" Type="http://schemas.openxmlformats.org/officeDocument/2006/relationships/hyperlink" Target="http://helmemuuseum.edicypages.com/" TargetMode="External"/><Relationship Id="rId31" Type="http://schemas.openxmlformats.org/officeDocument/2006/relationships/hyperlink" Target="https://koosaraamatukogu.ee/valgi-raamatukogu/" TargetMode="External"/><Relationship Id="rId30" Type="http://schemas.openxmlformats.org/officeDocument/2006/relationships/hyperlink" Target="mailto:varnja.raamatukogu@peipsivald.ee" TargetMode="External"/><Relationship Id="rId33" Type="http://schemas.openxmlformats.org/officeDocument/2006/relationships/hyperlink" Target="https://koosaraamatukogu.ee/nina-valisteeninduspunkt/" TargetMode="External"/><Relationship Id="rId32" Type="http://schemas.openxmlformats.org/officeDocument/2006/relationships/hyperlink" Target="mailto:valgi.raamatukogu@peipsivald.ee" TargetMode="External"/><Relationship Id="rId35" Type="http://schemas.openxmlformats.org/officeDocument/2006/relationships/hyperlink" Target="https://koosaraamatukogu.ee/kokora-valisteeninduspunkt/" TargetMode="External"/><Relationship Id="rId34" Type="http://schemas.openxmlformats.org/officeDocument/2006/relationships/hyperlink" Target="mailto:nina.laenutuspunkt@peipsivald.ee" TargetMode="External"/><Relationship Id="rId619" Type="http://schemas.openxmlformats.org/officeDocument/2006/relationships/hyperlink" Target="https://torva.kovtp.ee/barclay-de-tolly-mausoleum" TargetMode="External"/><Relationship Id="rId618" Type="http://schemas.openxmlformats.org/officeDocument/2006/relationships/hyperlink" Target="http://www.kinokoit.ee/" TargetMode="External"/><Relationship Id="rId613" Type="http://schemas.openxmlformats.org/officeDocument/2006/relationships/hyperlink" Target="https://www.sakalakeskus.ee/asukoht/viljandi-vana-veetorn/" TargetMode="External"/><Relationship Id="rId612" Type="http://schemas.openxmlformats.org/officeDocument/2006/relationships/hyperlink" Target="https://www.sakalakeskus.ee/" TargetMode="External"/><Relationship Id="rId611" Type="http://schemas.openxmlformats.org/officeDocument/2006/relationships/hyperlink" Target="https://www.sakalakeskus.ee/asukoht/ii-kirsimagi/" TargetMode="External"/><Relationship Id="rId610" Type="http://schemas.openxmlformats.org/officeDocument/2006/relationships/hyperlink" Target="https://www.sakalakeskus.ee/asukoht/i-kirsimagi/" TargetMode="External"/><Relationship Id="rId617" Type="http://schemas.openxmlformats.org/officeDocument/2006/relationships/hyperlink" Target="mailto:reevo.maidla@ut.ee" TargetMode="External"/><Relationship Id="rId616" Type="http://schemas.openxmlformats.org/officeDocument/2006/relationships/hyperlink" Target="https://www.kultuur.ut.ee/et/akadeemia" TargetMode="External"/><Relationship Id="rId615" Type="http://schemas.openxmlformats.org/officeDocument/2006/relationships/hyperlink" Target="mailto:folk@folk.ee" TargetMode="External"/><Relationship Id="rId614" Type="http://schemas.openxmlformats.org/officeDocument/2006/relationships/hyperlink" Target="https://www.folk.ee/" TargetMode="External"/><Relationship Id="rId37" Type="http://schemas.openxmlformats.org/officeDocument/2006/relationships/hyperlink" Target="https://www.facebook.com/AlatskiviMNS/" TargetMode="External"/><Relationship Id="rId36" Type="http://schemas.openxmlformats.org/officeDocument/2006/relationships/hyperlink" Target="mailto:%20kokora.laenutuspunkt@peipsivald.ee" TargetMode="External"/><Relationship Id="rId39" Type="http://schemas.openxmlformats.org/officeDocument/2006/relationships/hyperlink" Target="https://www.ahs.planet.ee/" TargetMode="External"/><Relationship Id="rId38" Type="http://schemas.openxmlformats.org/officeDocument/2006/relationships/hyperlink" Target="mailto:alatskivinaisselts@gmail.com" TargetMode="External"/><Relationship Id="rId20" Type="http://schemas.openxmlformats.org/officeDocument/2006/relationships/hyperlink" Target="mailto:alatskivirmtk@hot.ee" TargetMode="External"/><Relationship Id="rId22" Type="http://schemas.openxmlformats.org/officeDocument/2006/relationships/hyperlink" Target="mailto:kolkja.raamatukogu@peipsivald.ee" TargetMode="External"/><Relationship Id="rId21" Type="http://schemas.openxmlformats.org/officeDocument/2006/relationships/hyperlink" Target="https://koosaraamatukogu.ee/kolkja-raamatukogu/" TargetMode="External"/><Relationship Id="rId24" Type="http://schemas.openxmlformats.org/officeDocument/2006/relationships/hyperlink" Target="mailto:lumati.raamatukogu@peipsivald.ee" TargetMode="External"/><Relationship Id="rId23" Type="http://schemas.openxmlformats.org/officeDocument/2006/relationships/hyperlink" Target="https://koosaraamatukogu.ee/lumati-raamatukogu/" TargetMode="External"/><Relationship Id="rId409" Type="http://schemas.openxmlformats.org/officeDocument/2006/relationships/hyperlink" Target="https://kultuuriyhing.ee" TargetMode="External"/><Relationship Id="rId404" Type="http://schemas.openxmlformats.org/officeDocument/2006/relationships/hyperlink" Target="https://www.eoc.ee/kogudus/meeksi-ristija-johannese-kogudus/?v=a57b8491d1d8" TargetMode="External"/><Relationship Id="rId525" Type="http://schemas.openxmlformats.org/officeDocument/2006/relationships/hyperlink" Target="http://kuigatsi.edicypages.com/klamaja" TargetMode="External"/><Relationship Id="rId403" Type="http://schemas.openxmlformats.org/officeDocument/2006/relationships/hyperlink" Target="https://www.eoc.ee/kogudus/obinitsa-issanda-muutmise-kogudus/?v=a57b8491d1d8" TargetMode="External"/><Relationship Id="rId524" Type="http://schemas.openxmlformats.org/officeDocument/2006/relationships/hyperlink" Target="http://kuigatsi.edicypages.com/klamaja" TargetMode="External"/><Relationship Id="rId402" Type="http://schemas.openxmlformats.org/officeDocument/2006/relationships/hyperlink" Target="https://www.eoc.ee/kogudus/kogudus-2/?v=a57b8491d1d8" TargetMode="External"/><Relationship Id="rId523" Type="http://schemas.openxmlformats.org/officeDocument/2006/relationships/hyperlink" Target="http://mailto:%20Katrin.Uffert@otepaa.ee/" TargetMode="External"/><Relationship Id="rId401" Type="http://schemas.openxmlformats.org/officeDocument/2006/relationships/hyperlink" Target="https://www.facebook.com/Setomaa-Noorsoot%C3%B6%C3%B6-1981061721932668/" TargetMode="External"/><Relationship Id="rId522" Type="http://schemas.openxmlformats.org/officeDocument/2006/relationships/hyperlink" Target="https://www.facebook.com/PukaVallaKultuuripesa" TargetMode="External"/><Relationship Id="rId408" Type="http://schemas.openxmlformats.org/officeDocument/2006/relationships/hyperlink" Target="http://taarkateater.ee/" TargetMode="External"/><Relationship Id="rId529" Type="http://schemas.openxmlformats.org/officeDocument/2006/relationships/hyperlink" Target="http://mailto:%20Ly.Haaviste@otepaa.ee/" TargetMode="External"/><Relationship Id="rId407" Type="http://schemas.openxmlformats.org/officeDocument/2006/relationships/hyperlink" Target="https://kogudused.ee/selise-baptistikogudus/" TargetMode="External"/><Relationship Id="rId528" Type="http://schemas.openxmlformats.org/officeDocument/2006/relationships/hyperlink" Target="http://www.otepaa.ee/puhajarve-raamatukogu" TargetMode="External"/><Relationship Id="rId406" Type="http://schemas.openxmlformats.org/officeDocument/2006/relationships/hyperlink" Target="https://www.eoc.ee/kogudus/saatse-puha-paraskeva-kogudus/?v=a57b8491d1d8" TargetMode="External"/><Relationship Id="rId527" Type="http://schemas.openxmlformats.org/officeDocument/2006/relationships/hyperlink" Target="http://mailto:%20Otepaa.Linnaraamatukogu@otepaa.ee/" TargetMode="External"/><Relationship Id="rId405" Type="http://schemas.openxmlformats.org/officeDocument/2006/relationships/hyperlink" Target="https://www.eoc.ee/kogudus/1963-2/?v=a57b8491d1d8" TargetMode="External"/><Relationship Id="rId526" Type="http://schemas.openxmlformats.org/officeDocument/2006/relationships/hyperlink" Target="http://mailto:%20Tiiu.Treimuth@otepaa.ee/" TargetMode="External"/><Relationship Id="rId26" Type="http://schemas.openxmlformats.org/officeDocument/2006/relationships/hyperlink" Target="mailto:pala.raamatukogu@peipsivald.ee" TargetMode="External"/><Relationship Id="rId25" Type="http://schemas.openxmlformats.org/officeDocument/2006/relationships/hyperlink" Target="https://koosaraamatukogu.ee/pala-raamatukogu/" TargetMode="External"/><Relationship Id="rId28" Type="http://schemas.openxmlformats.org/officeDocument/2006/relationships/hyperlink" Target="mailto:vara.raamatukogu@peipsivald.ee" TargetMode="External"/><Relationship Id="rId27" Type="http://schemas.openxmlformats.org/officeDocument/2006/relationships/hyperlink" Target="https://koosaraamatukogu.ee/vara-raamatukogu/" TargetMode="External"/><Relationship Id="rId400" Type="http://schemas.openxmlformats.org/officeDocument/2006/relationships/hyperlink" Target="https://www.facebook.com/Setomaa-Noorsoot%C3%B6%C3%B6-1981061721932668/" TargetMode="External"/><Relationship Id="rId521" Type="http://schemas.openxmlformats.org/officeDocument/2006/relationships/hyperlink" Target="http://mailto:%20Marika.Viks@otepaa.ee/" TargetMode="External"/><Relationship Id="rId29" Type="http://schemas.openxmlformats.org/officeDocument/2006/relationships/hyperlink" Target="https://koosaraamatukogu.ee/varnja-raamatukogu/" TargetMode="External"/><Relationship Id="rId520" Type="http://schemas.openxmlformats.org/officeDocument/2006/relationships/hyperlink" Target="http://mailto:%20Marina.Pulver@otepaa.ee/" TargetMode="External"/><Relationship Id="rId641" Type="http://schemas.openxmlformats.org/officeDocument/2006/relationships/drawing" Target="../drawings/drawing2.xml"/><Relationship Id="rId640" Type="http://schemas.openxmlformats.org/officeDocument/2006/relationships/hyperlink" Target="https://torva.kovtp.ee/kontakt-ja-teave-torva-kultuurimaja" TargetMode="External"/><Relationship Id="rId11" Type="http://schemas.openxmlformats.org/officeDocument/2006/relationships/hyperlink" Target="mailto:kallastekool@gmail.com" TargetMode="External"/><Relationship Id="rId10" Type="http://schemas.openxmlformats.org/officeDocument/2006/relationships/hyperlink" Target="https://muusa.ee/" TargetMode="External"/><Relationship Id="rId13" Type="http://schemas.openxmlformats.org/officeDocument/2006/relationships/hyperlink" Target="mailto:lillitarakanov@gmail.com" TargetMode="External"/><Relationship Id="rId12" Type="http://schemas.openxmlformats.org/officeDocument/2006/relationships/hyperlink" Target="https://vanausulised.weebly.com/" TargetMode="External"/><Relationship Id="rId519" Type="http://schemas.openxmlformats.org/officeDocument/2006/relationships/hyperlink" Target="https://www.facebook.com/Sangaste-Kultuurimaja-499654153423923" TargetMode="External"/><Relationship Id="rId514" Type="http://schemas.openxmlformats.org/officeDocument/2006/relationships/hyperlink" Target="http://maps.google.com.my/maps?q=Pedeli%202a,%20Valga&amp;z=18&amp;ie=UTF8&amp;hnear=Pedeli%202a,%20Valga&amp;output=embed" TargetMode="External"/><Relationship Id="rId635" Type="http://schemas.openxmlformats.org/officeDocument/2006/relationships/hyperlink" Target="https://torva.kovtp.ee/koorkula-rahvamaja" TargetMode="External"/><Relationship Id="rId513" Type="http://schemas.openxmlformats.org/officeDocument/2006/relationships/hyperlink" Target="mailto:info@valgasport.ee" TargetMode="External"/><Relationship Id="rId634" Type="http://schemas.openxmlformats.org/officeDocument/2006/relationships/hyperlink" Target="https://torva.kovtp.ee/hummuli-rahvamaja" TargetMode="External"/><Relationship Id="rId512" Type="http://schemas.openxmlformats.org/officeDocument/2006/relationships/hyperlink" Target="https://www.valgasport.ee/sportimisvoimalused/spordihall/" TargetMode="External"/><Relationship Id="rId633" Type="http://schemas.openxmlformats.org/officeDocument/2006/relationships/hyperlink" Target="https://torva.kovtp.ee/hummuli-rahvamaja" TargetMode="External"/><Relationship Id="rId511" Type="http://schemas.openxmlformats.org/officeDocument/2006/relationships/hyperlink" Target="mailto:carmen.tsvetkov@gmail.com" TargetMode="External"/><Relationship Id="rId632" Type="http://schemas.openxmlformats.org/officeDocument/2006/relationships/hyperlink" Target="https://torva.kovtp.ee/ala-rahvamaja" TargetMode="External"/><Relationship Id="rId518" Type="http://schemas.openxmlformats.org/officeDocument/2006/relationships/hyperlink" Target="http://mailto:%20Merle.Soonberg@otepaa.ee/" TargetMode="External"/><Relationship Id="rId639" Type="http://schemas.openxmlformats.org/officeDocument/2006/relationships/hyperlink" Target="https://torva.kovtp.ee/torva-kultuurimaja1" TargetMode="External"/><Relationship Id="rId517" Type="http://schemas.openxmlformats.org/officeDocument/2006/relationships/hyperlink" Target="https://www.facebook.com/pages/Otep%C3%A4%C3%A4%20Kultuurimaja/2135660470018324/" TargetMode="External"/><Relationship Id="rId638" Type="http://schemas.openxmlformats.org/officeDocument/2006/relationships/hyperlink" Target="https://torva.kovtp.ee/riidaja-kultuurimaja" TargetMode="External"/><Relationship Id="rId516" Type="http://schemas.openxmlformats.org/officeDocument/2006/relationships/hyperlink" Target="http://www.valgamuusikakool.ee/" TargetMode="External"/><Relationship Id="rId637" Type="http://schemas.openxmlformats.org/officeDocument/2006/relationships/hyperlink" Target="https://torva.kovtp.ee/riidaja-kultuurimaja" TargetMode="External"/><Relationship Id="rId515" Type="http://schemas.openxmlformats.org/officeDocument/2006/relationships/hyperlink" Target="https://www.valgasport.ee/sportimisvoimalused/staadion/" TargetMode="External"/><Relationship Id="rId636" Type="http://schemas.openxmlformats.org/officeDocument/2006/relationships/hyperlink" Target="https://torva.kovtp.ee/koorkula-rahvamaja" TargetMode="External"/><Relationship Id="rId15" Type="http://schemas.openxmlformats.org/officeDocument/2006/relationships/hyperlink" Target="https://www.alatskiviloss.ee/tubinamuuseum" TargetMode="External"/><Relationship Id="rId14" Type="http://schemas.openxmlformats.org/officeDocument/2006/relationships/hyperlink" Target="mailto:arina666@yandex.ru" TargetMode="External"/><Relationship Id="rId17" Type="http://schemas.openxmlformats.org/officeDocument/2006/relationships/hyperlink" Target="https://koosaraamatukogu.ee/harukogud/alatskivi-raamatukogu/" TargetMode="External"/><Relationship Id="rId16" Type="http://schemas.openxmlformats.org/officeDocument/2006/relationships/hyperlink" Target="https://koosaraamatukogu.ee/" TargetMode="External"/><Relationship Id="rId19" Type="http://schemas.openxmlformats.org/officeDocument/2006/relationships/hyperlink" Target="https://koosaraamatukogu.ee/kallaste-raamatukogu/" TargetMode="External"/><Relationship Id="rId510" Type="http://schemas.openxmlformats.org/officeDocument/2006/relationships/hyperlink" Target="https://www.facebook.com/KarulaANK" TargetMode="External"/><Relationship Id="rId631" Type="http://schemas.openxmlformats.org/officeDocument/2006/relationships/hyperlink" Target="https://torva.kovtp.ee/ala-rahvamaja" TargetMode="External"/><Relationship Id="rId18" Type="http://schemas.openxmlformats.org/officeDocument/2006/relationships/hyperlink" Target="mailto:alatskivi.raamatukogu@peipsivald.ee" TargetMode="External"/><Relationship Id="rId630" Type="http://schemas.openxmlformats.org/officeDocument/2006/relationships/hyperlink" Target="https://torva.kovtp.ee/torva-kirik-kammersaal" TargetMode="External"/><Relationship Id="rId84" Type="http://schemas.openxmlformats.org/officeDocument/2006/relationships/hyperlink" Target="mailto:kelli@onnemaa.ee" TargetMode="External"/><Relationship Id="rId83" Type="http://schemas.openxmlformats.org/officeDocument/2006/relationships/hyperlink" Target="http://onnemaa.ee/kambja-pere-ja-noortekeskus/" TargetMode="External"/><Relationship Id="rId86" Type="http://schemas.openxmlformats.org/officeDocument/2006/relationships/hyperlink" Target="mailto:kersti@onnemaa.ee" TargetMode="External"/><Relationship Id="rId85" Type="http://schemas.openxmlformats.org/officeDocument/2006/relationships/hyperlink" Target="https://onnemaa.ee/ulenurme-pere-ja-noortekeskus/" TargetMode="External"/><Relationship Id="rId88" Type="http://schemas.openxmlformats.org/officeDocument/2006/relationships/hyperlink" Target="mailto:jaanika@onnemaa.ee" TargetMode="External"/><Relationship Id="rId87" Type="http://schemas.openxmlformats.org/officeDocument/2006/relationships/hyperlink" Target="http://onnemaa.ee/torvandi-pere-ja-noortekeskus/" TargetMode="External"/><Relationship Id="rId89" Type="http://schemas.openxmlformats.org/officeDocument/2006/relationships/hyperlink" Target="https://www.kambja.ee/rahva-ja-seltsimajad" TargetMode="External"/><Relationship Id="rId80" Type="http://schemas.openxmlformats.org/officeDocument/2006/relationships/hyperlink" Target="mailto:ylle.andreson@ymk.ee" TargetMode="External"/><Relationship Id="rId82" Type="http://schemas.openxmlformats.org/officeDocument/2006/relationships/hyperlink" Target="https://www.yle.edu.ee/sport/" TargetMode="External"/><Relationship Id="rId81" Type="http://schemas.openxmlformats.org/officeDocument/2006/relationships/hyperlink" Target="https://www.yle.edu.ee/sport/" TargetMode="External"/><Relationship Id="rId73" Type="http://schemas.openxmlformats.org/officeDocument/2006/relationships/hyperlink" Target="mailto:roiu.noortekeskus@kastre.ee" TargetMode="External"/><Relationship Id="rId72" Type="http://schemas.openxmlformats.org/officeDocument/2006/relationships/hyperlink" Target="mailto:kirsika.muhlberg@kastre.ee" TargetMode="External"/><Relationship Id="rId75" Type="http://schemas.openxmlformats.org/officeDocument/2006/relationships/hyperlink" Target="https://www.kastre.ee/sillaotsa-spordihoone" TargetMode="External"/><Relationship Id="rId74" Type="http://schemas.openxmlformats.org/officeDocument/2006/relationships/hyperlink" Target="mailto:vonnu.noortekeskus@kastre.ee" TargetMode="External"/><Relationship Id="rId77" Type="http://schemas.openxmlformats.org/officeDocument/2006/relationships/hyperlink" Target="https://melliste.ee/lahtiolekuajad" TargetMode="External"/><Relationship Id="rId76" Type="http://schemas.openxmlformats.org/officeDocument/2006/relationships/hyperlink" Target="mailto:riina.vals@kastre.ee" TargetMode="External"/><Relationship Id="rId79" Type="http://schemas.openxmlformats.org/officeDocument/2006/relationships/hyperlink" Target="http://www.ymk.ee" TargetMode="External"/><Relationship Id="rId78" Type="http://schemas.openxmlformats.org/officeDocument/2006/relationships/hyperlink" Target="mailto:sport@melliste.ee" TargetMode="External"/><Relationship Id="rId71" Type="http://schemas.openxmlformats.org/officeDocument/2006/relationships/hyperlink" Target="mailto:kavastu.raamatukogu@luunja.ee" TargetMode="External"/><Relationship Id="rId70" Type="http://schemas.openxmlformats.org/officeDocument/2006/relationships/hyperlink" Target="mailto:luunja.raamatukogu@luunja.ee" TargetMode="External"/><Relationship Id="rId62" Type="http://schemas.openxmlformats.org/officeDocument/2006/relationships/hyperlink" Target="mailto:mty.varalaegas@gmail.com" TargetMode="External"/><Relationship Id="rId61" Type="http://schemas.openxmlformats.org/officeDocument/2006/relationships/hyperlink" Target="https://www.facebook.com/koosanoortekeskus/" TargetMode="External"/><Relationship Id="rId64" Type="http://schemas.openxmlformats.org/officeDocument/2006/relationships/hyperlink" Target="mailto:marina.peipsiaare@gmail.com" TargetMode="External"/><Relationship Id="rId63" Type="http://schemas.openxmlformats.org/officeDocument/2006/relationships/hyperlink" Target="https://www.facebook.com/peipsiaare.noortekeskus.5" TargetMode="External"/><Relationship Id="rId66" Type="http://schemas.openxmlformats.org/officeDocument/2006/relationships/hyperlink" Target="https://luunjakultuur.ee/" TargetMode="External"/><Relationship Id="rId65" Type="http://schemas.openxmlformats.org/officeDocument/2006/relationships/hyperlink" Target="https://www.alatskiviloss.ee/" TargetMode="External"/><Relationship Id="rId68" Type="http://schemas.openxmlformats.org/officeDocument/2006/relationships/hyperlink" Target="https://www.facebook.com/lohkva.raamatukogu" TargetMode="External"/><Relationship Id="rId67" Type="http://schemas.openxmlformats.org/officeDocument/2006/relationships/hyperlink" Target="https://luunjakultuur.ee/luunja-noortekeskus-2/" TargetMode="External"/><Relationship Id="rId609" Type="http://schemas.openxmlformats.org/officeDocument/2006/relationships/hyperlink" Target="https://www.sakalakeskus.ee/asukoht/kaevumae-vabaohulava/" TargetMode="External"/><Relationship Id="rId608" Type="http://schemas.openxmlformats.org/officeDocument/2006/relationships/hyperlink" Target="http://info@viljandimuusikakool.ee/" TargetMode="External"/><Relationship Id="rId607" Type="http://schemas.openxmlformats.org/officeDocument/2006/relationships/hyperlink" Target="http://www.viljandimuusikakool.ee/" TargetMode="External"/><Relationship Id="rId60" Type="http://schemas.openxmlformats.org/officeDocument/2006/relationships/hyperlink" Target="mailto:vara.noortekeskus@gmail.com" TargetMode="External"/><Relationship Id="rId602" Type="http://schemas.openxmlformats.org/officeDocument/2006/relationships/hyperlink" Target="https://viljandi.jaani.eelk.ee/" TargetMode="External"/><Relationship Id="rId601" Type="http://schemas.openxmlformats.org/officeDocument/2006/relationships/hyperlink" Target="https://www.sakalakeskus.ee/asukoht/viljandi-lauluvaljak/" TargetMode="External"/><Relationship Id="rId600" Type="http://schemas.openxmlformats.org/officeDocument/2006/relationships/hyperlink" Target="http://spordiplatsid.ee/plats/2352/Viljandi-linnastaadion" TargetMode="External"/><Relationship Id="rId606" Type="http://schemas.openxmlformats.org/officeDocument/2006/relationships/hyperlink" Target="https://www.google.com/search?q=Viljandi%20kirikud&amp;oq=Viljandi+kiruikud&amp;aqs=chrome..69i57j0i13.4625j1j15&amp;sourceid=chrome&amp;ie=UTF-8&amp;tbs=lf:1,lf_ui:2&amp;tbm=lcl&amp;sxsrf=ALeKk01leWA51tcBnTcXskbxUrLXZxJlKg:1620728055703&amp;rflfq=1&amp;num=10&amp;rldimm=657324148505025923&amp;lqi=ChBWaWxqYW5kaSBraXJpa3VkWhsKB2tpcmlrdWQiEHZpbGphbmRpIGtpcmlrdWSSAQ5iYXB0aXN0X2NodXJjaKoBDxABKgsiB2tpcmlrdWQoGA&amp;ved=2ahUKEwjKgqbAssHwAhWBlosKHVUxBVgQvS4wB3oECAUQPg&amp;rlst=f" TargetMode="External"/><Relationship Id="rId605" Type="http://schemas.openxmlformats.org/officeDocument/2006/relationships/hyperlink" Target="https://vbk.ee/" TargetMode="External"/><Relationship Id="rId604" Type="http://schemas.openxmlformats.org/officeDocument/2006/relationships/hyperlink" Target="mailto:viljandi.pauluse@eelk.ee" TargetMode="External"/><Relationship Id="rId603" Type="http://schemas.openxmlformats.org/officeDocument/2006/relationships/hyperlink" Target="https://viljandi.praostkond.eelk.ee/kogudus.php?id=159" TargetMode="External"/><Relationship Id="rId69" Type="http://schemas.openxmlformats.org/officeDocument/2006/relationships/hyperlink" Target="mailto:lohkva.raamatukogu@luunja.ee" TargetMode="External"/><Relationship Id="rId51" Type="http://schemas.openxmlformats.org/officeDocument/2006/relationships/hyperlink" Target="mailto:vara@eelk.ee" TargetMode="External"/><Relationship Id="rId50" Type="http://schemas.openxmlformats.org/officeDocument/2006/relationships/hyperlink" Target="mailto:pavel@starover.ee" TargetMode="External"/><Relationship Id="rId53" Type="http://schemas.openxmlformats.org/officeDocument/2006/relationships/hyperlink" Target="https://alatskivinoored.webs.com/" TargetMode="External"/><Relationship Id="rId52" Type="http://schemas.openxmlformats.org/officeDocument/2006/relationships/hyperlink" Target="mailto:toomas@eoc.ee" TargetMode="External"/><Relationship Id="rId55" Type="http://schemas.openxmlformats.org/officeDocument/2006/relationships/hyperlink" Target="https://www.facebook.com/KallasteNoortekeskus" TargetMode="External"/><Relationship Id="rId54" Type="http://schemas.openxmlformats.org/officeDocument/2006/relationships/hyperlink" Target="mailto:alatskivinoortekeskus@gmail.com" TargetMode="External"/><Relationship Id="rId57" Type="http://schemas.openxmlformats.org/officeDocument/2006/relationships/hyperlink" Target="http://www.pvn.ee/" TargetMode="External"/><Relationship Id="rId56" Type="http://schemas.openxmlformats.org/officeDocument/2006/relationships/hyperlink" Target="mailto:drozdovakristina01@gmail.com" TargetMode="External"/><Relationship Id="rId59" Type="http://schemas.openxmlformats.org/officeDocument/2006/relationships/hyperlink" Target="http://varasport.eu/vara-noortekeskus/" TargetMode="External"/><Relationship Id="rId58" Type="http://schemas.openxmlformats.org/officeDocument/2006/relationships/hyperlink" Target="mailto:alatskivinoortekeskus@gmail.com" TargetMode="External"/><Relationship Id="rId590" Type="http://schemas.openxmlformats.org/officeDocument/2006/relationships/hyperlink" Target="mailto:nukuteater@viljandi.ee" TargetMode="External"/><Relationship Id="rId107" Type="http://schemas.openxmlformats.org/officeDocument/2006/relationships/hyperlink" Target="https://www.kambja.ee/spordirajatised1/-/asset_publisher/nul5rLHLtFRB/content/torvandi-spordihoone-ja-staadion?redirect=https%3A%2F%2Fwww.kambja.ee%2Fspordirajatised1%3Fp_p_id%3D101_INSTANCE_nul5rLHLtFRB%26p_p_lifecycle%3D0%26p_p_state%3Dnormal%26p_p_mode%3Dview%26p_p_col_id%3Dcolumn-1%26p_p_col_count%3D2" TargetMode="External"/><Relationship Id="rId228" Type="http://schemas.openxmlformats.org/officeDocument/2006/relationships/hyperlink" Target="mailto:krista@nvv.ee" TargetMode="External"/><Relationship Id="rId349" Type="http://schemas.openxmlformats.org/officeDocument/2006/relationships/hyperlink" Target="https://www.facebook.com/groups/423431791008378" TargetMode="External"/><Relationship Id="rId106" Type="http://schemas.openxmlformats.org/officeDocument/2006/relationships/hyperlink" Target="https://www.kambja.ee/spordirajatised1/-/asset_publisher/nul5rLHLtFRB/content/torvandi-spordihoone-ja-staadion?redirect=https%3A%2F%2Fwww.kambja.ee%2Fspordirajatised1%3Fp_p_id%3D101_INSTANCE_nul5rLHLtFRB%26p_p_lifecycle%3D0%26p_p_state%3Dnormal%26p_p_mode%3Dview%26p_p_col_id%3Dcolumn-1%26p_p_col_count%3D2" TargetMode="External"/><Relationship Id="rId227" Type="http://schemas.openxmlformats.org/officeDocument/2006/relationships/hyperlink" Target="https://nvv.kovtp.ee/noo-paevakeskus" TargetMode="External"/><Relationship Id="rId348" Type="http://schemas.openxmlformats.org/officeDocument/2006/relationships/hyperlink" Target="https://www.facebook.com/KanepiANK" TargetMode="External"/><Relationship Id="rId469" Type="http://schemas.openxmlformats.org/officeDocument/2006/relationships/hyperlink" Target="https://varstukirik.planet.ee/et" TargetMode="External"/><Relationship Id="rId105" Type="http://schemas.openxmlformats.org/officeDocument/2006/relationships/hyperlink" Target="https://www.kambja.ee/spordirajatised1/-/asset_publisher/nul5rLHLtFRB/content/kammeri-kooli-spordihoone-ja-staadion?redirect=https%3A%2F%2Fwww.kambja.ee%2Fspordirajatised1%3Fp_p_id%3D101_INSTANCE_nul5rLHLtFRB%26p_p_lifecycle%3D0%26p_p_state%3Dnormal%26p_p_mode%3Dview%26p_p_col_id%3Dcolumn-1%26p_p_col_count%3D2" TargetMode="External"/><Relationship Id="rId226" Type="http://schemas.openxmlformats.org/officeDocument/2006/relationships/hyperlink" Target="mailto:nogiaruraamatukogu@nvv.ee" TargetMode="External"/><Relationship Id="rId347" Type="http://schemas.openxmlformats.org/officeDocument/2006/relationships/hyperlink" Target="mailto:andres@kanepi.ee" TargetMode="External"/><Relationship Id="rId468" Type="http://schemas.openxmlformats.org/officeDocument/2006/relationships/hyperlink" Target="http://vastseliina.eelk.ee" TargetMode="External"/><Relationship Id="rId589" Type="http://schemas.openxmlformats.org/officeDocument/2006/relationships/hyperlink" Target="https://www.viljandinukuteater.ee/" TargetMode="External"/><Relationship Id="rId104" Type="http://schemas.openxmlformats.org/officeDocument/2006/relationships/hyperlink" Target="https://www.kambja.ee/spordirajatised1/-/asset_publisher/nul5rLHLtFRB/content/kammeri-kooli-spordihoone-ja-staadion?redirect=https%3A%2F%2Fwww.kambja.ee%2Fspordirajatised1%3Fp_p_id%3D101_INSTANCE_nul5rLHLtFRB%26p_p_lifecycle%3D0%26p_p_state%3Dnormal%26p_p_mode%3Dview%26p_p_col_id%3Dcolumn-1%26p_p_col_count%3D2" TargetMode="External"/><Relationship Id="rId225" Type="http://schemas.openxmlformats.org/officeDocument/2006/relationships/hyperlink" Target="https://nvv.kovtp.ee/raamatukogud" TargetMode="External"/><Relationship Id="rId346" Type="http://schemas.openxmlformats.org/officeDocument/2006/relationships/hyperlink" Target="mailto:andres@kanepi.ee" TargetMode="External"/><Relationship Id="rId467" Type="http://schemas.openxmlformats.org/officeDocument/2006/relationships/hyperlink" Target="http://www.rougemaarja.ee/" TargetMode="External"/><Relationship Id="rId588" Type="http://schemas.openxmlformats.org/officeDocument/2006/relationships/hyperlink" Target="http://www.ugala.ee/wp-content/uploads/2018/03/suur_saal_disabilityfriendly_valge.png" TargetMode="External"/><Relationship Id="rId109" Type="http://schemas.openxmlformats.org/officeDocument/2006/relationships/hyperlink" Target="http://www.mm.ee/" TargetMode="External"/><Relationship Id="rId108" Type="http://schemas.openxmlformats.org/officeDocument/2006/relationships/hyperlink" Target="https://kambja.eelk.ee/web/" TargetMode="External"/><Relationship Id="rId229" Type="http://schemas.openxmlformats.org/officeDocument/2006/relationships/hyperlink" Target="http://noosport.ee/" TargetMode="External"/><Relationship Id="rId220" Type="http://schemas.openxmlformats.org/officeDocument/2006/relationships/hyperlink" Target="mailto:andri@nvv.ee" TargetMode="External"/><Relationship Id="rId341" Type="http://schemas.openxmlformats.org/officeDocument/2006/relationships/hyperlink" Target="mailto:maanteemuuseum@mnt.ee" TargetMode="External"/><Relationship Id="rId462" Type="http://schemas.openxmlformats.org/officeDocument/2006/relationships/hyperlink" Target="https://monistemuuseum.ee/" TargetMode="External"/><Relationship Id="rId583" Type="http://schemas.openxmlformats.org/officeDocument/2006/relationships/hyperlink" Target="http://noored.palupera.ee/" TargetMode="External"/><Relationship Id="rId340" Type="http://schemas.openxmlformats.org/officeDocument/2006/relationships/hyperlink" Target="mailto:aivar@tuletee.ee" TargetMode="External"/><Relationship Id="rId461" Type="http://schemas.openxmlformats.org/officeDocument/2006/relationships/hyperlink" Target="https://www.kultuurimois.ee/" TargetMode="External"/><Relationship Id="rId582" Type="http://schemas.openxmlformats.org/officeDocument/2006/relationships/hyperlink" Target="http://mailto:%20Pille.Priidik@otepaa.ee/" TargetMode="External"/><Relationship Id="rId460" Type="http://schemas.openxmlformats.org/officeDocument/2006/relationships/hyperlink" Target="mailto:rahvamaja@vastseliina.ee" TargetMode="External"/><Relationship Id="rId581" Type="http://schemas.openxmlformats.org/officeDocument/2006/relationships/hyperlink" Target="https://www.facebook.com/keeni.noortekeskus" TargetMode="External"/><Relationship Id="rId580" Type="http://schemas.openxmlformats.org/officeDocument/2006/relationships/hyperlink" Target="http://mailto:%20Pille.Priidik@otepaa.ee/" TargetMode="External"/><Relationship Id="rId103" Type="http://schemas.openxmlformats.org/officeDocument/2006/relationships/hyperlink" Target="https://www.kambja.ee/spordirajatised1?p_p_auth=Wc8qCRqh&amp;p_p_id=101&amp;p_p_lifecycle=0&amp;p_p_state=maximized&amp;p_p_col_id=column-1&amp;p_p_col_count=2&amp;_101_struts_action=%2Fasset_publisher%2Fview_content&amp;_101_assetEntryId=15344477&amp;_101_type=content&amp;_101_urlTitle=kambja-staadion&amp;redirect=%2Fspordirajatised1%2F-%2Fasset_publisher%2Fnul5rLHLtFRB%2Fcontent%2Fkambja-spordihoone%3Fredirect%3Dhttps%253A%252F%252Fwww.kambja.ee%252Fspordirajatised1%253Fp_p_id%253D101_INSTANCE_nul5rLHLtFRB%2526p_p_lifecycle%253D0%2526p_p_state%253Dnormal%2526p_p_mode%253Dview%2526p_p_col_id%253Dcolumn-1%2526p_p_col_count%253D2" TargetMode="External"/><Relationship Id="rId224" Type="http://schemas.openxmlformats.org/officeDocument/2006/relationships/hyperlink" Target="mailto:luke.raamatukogu@mail.ee" TargetMode="External"/><Relationship Id="rId345" Type="http://schemas.openxmlformats.org/officeDocument/2006/relationships/hyperlink" Target="mailto:erastvere.raamatukogu@kanepi.ee" TargetMode="External"/><Relationship Id="rId466" Type="http://schemas.openxmlformats.org/officeDocument/2006/relationships/hyperlink" Target="mailto:info@rougemuuseum.ee" TargetMode="External"/><Relationship Id="rId587" Type="http://schemas.openxmlformats.org/officeDocument/2006/relationships/hyperlink" Target="https://www.ugala.ee/" TargetMode="External"/><Relationship Id="rId102" Type="http://schemas.openxmlformats.org/officeDocument/2006/relationships/hyperlink" Target="https://www.kambja.ee/spordirajatised1/-/asset_publisher/nul5rLHLtFRB/content/kambja-spordihoone?redirect=https%3A%2F%2Fwww.kambja.ee%2Fspordirajatised1%3Fp_p_id%3D101_INSTANCE_nul5rLHLtFRB%26p_p_lifecycle%3D0%26p_p_state%3Dnormal%26p_p_mode%3Dview%26p_p_col_id%3Dcolumn-1%26p_p_col_count%3D2" TargetMode="External"/><Relationship Id="rId223" Type="http://schemas.openxmlformats.org/officeDocument/2006/relationships/hyperlink" Target="https://nvv.kovtp.ee/raamatukogud" TargetMode="External"/><Relationship Id="rId344" Type="http://schemas.openxmlformats.org/officeDocument/2006/relationships/hyperlink" Target="mailto:seltsimaja@kanepi.ee" TargetMode="External"/><Relationship Id="rId465" Type="http://schemas.openxmlformats.org/officeDocument/2006/relationships/hyperlink" Target="http://www.rougemuuseum.ee/" TargetMode="External"/><Relationship Id="rId586" Type="http://schemas.openxmlformats.org/officeDocument/2006/relationships/hyperlink" Target="mailto:muusikakool@otepaa.ee" TargetMode="External"/><Relationship Id="rId101" Type="http://schemas.openxmlformats.org/officeDocument/2006/relationships/hyperlink" Target="https://ylenurmeraamatukogu.blogspot.com/" TargetMode="External"/><Relationship Id="rId222" Type="http://schemas.openxmlformats.org/officeDocument/2006/relationships/hyperlink" Target="mailto:helle@nvv.ee" TargetMode="External"/><Relationship Id="rId343" Type="http://schemas.openxmlformats.org/officeDocument/2006/relationships/hyperlink" Target="mailto:irina.kruusla@mail.ee" TargetMode="External"/><Relationship Id="rId464" Type="http://schemas.openxmlformats.org/officeDocument/2006/relationships/hyperlink" Target="mailto:rogosi@rogosi.ee" TargetMode="External"/><Relationship Id="rId585" Type="http://schemas.openxmlformats.org/officeDocument/2006/relationships/hyperlink" Target="http://www.otepaamuusikakool.ee/" TargetMode="External"/><Relationship Id="rId100" Type="http://schemas.openxmlformats.org/officeDocument/2006/relationships/hyperlink" Target="https://xn--trvandiraamatukogu-t2b.weebly.com/haruraamatukogud.html" TargetMode="External"/><Relationship Id="rId221" Type="http://schemas.openxmlformats.org/officeDocument/2006/relationships/hyperlink" Target="https://nvv.kovtp.ee/raamatukogud" TargetMode="External"/><Relationship Id="rId342" Type="http://schemas.openxmlformats.org/officeDocument/2006/relationships/hyperlink" Target="mailto:maanteemuuseum@transpordiamet.ee" TargetMode="External"/><Relationship Id="rId463" Type="http://schemas.openxmlformats.org/officeDocument/2006/relationships/hyperlink" Target="http://www.rogosi.ee/" TargetMode="External"/><Relationship Id="rId584" Type="http://schemas.openxmlformats.org/officeDocument/2006/relationships/hyperlink" Target="http://mailto:%20viks.marika@gmail.com/" TargetMode="External"/><Relationship Id="rId217" Type="http://schemas.openxmlformats.org/officeDocument/2006/relationships/hyperlink" Target="http://www.n6onoortekas.wordpress.com/?fbclid=IwAR1eDWLuxow9yItqx-XlrYybL2V2_Ue-kvMIkcOqUibJQQ9gvVeDAna2e8U" TargetMode="External"/><Relationship Id="rId338" Type="http://schemas.openxmlformats.org/officeDocument/2006/relationships/hyperlink" Target="https://puhkaeestis.ee/et/viia-jaani-laburinditalu-3" TargetMode="External"/><Relationship Id="rId459" Type="http://schemas.openxmlformats.org/officeDocument/2006/relationships/hyperlink" Target="mailto:puigarahvamaja@voruvald.ee" TargetMode="External"/><Relationship Id="rId216" Type="http://schemas.openxmlformats.org/officeDocument/2006/relationships/hyperlink" Target="mailto:meeriselts@gmail.com" TargetMode="External"/><Relationship Id="rId337" Type="http://schemas.openxmlformats.org/officeDocument/2006/relationships/hyperlink" Target="https://www.pokumaa.ee/" TargetMode="External"/><Relationship Id="rId458" Type="http://schemas.openxmlformats.org/officeDocument/2006/relationships/hyperlink" Target="mailto:parkseparahvamaja@voruvald.ee" TargetMode="External"/><Relationship Id="rId579" Type="http://schemas.openxmlformats.org/officeDocument/2006/relationships/hyperlink" Target="https://www.facebook.com/pukanoortekeskus" TargetMode="External"/><Relationship Id="rId215" Type="http://schemas.openxmlformats.org/officeDocument/2006/relationships/hyperlink" Target="http://www.meerikas.eu/index.php" TargetMode="External"/><Relationship Id="rId336" Type="http://schemas.openxmlformats.org/officeDocument/2006/relationships/hyperlink" Target="mailto:maanteemuuseum@transpordiamet.ee" TargetMode="External"/><Relationship Id="rId457" Type="http://schemas.openxmlformats.org/officeDocument/2006/relationships/hyperlink" Target="mailto:liina@orava.ee" TargetMode="External"/><Relationship Id="rId578" Type="http://schemas.openxmlformats.org/officeDocument/2006/relationships/hyperlink" Target="http://mailto:%20Katlin.Nukka@otepaa.ee/" TargetMode="External"/><Relationship Id="rId214" Type="http://schemas.openxmlformats.org/officeDocument/2006/relationships/hyperlink" Target="mailto:muuseum@nvv.ee" TargetMode="External"/><Relationship Id="rId335" Type="http://schemas.openxmlformats.org/officeDocument/2006/relationships/hyperlink" Target="mailto:maanteemuuseum@mnt.ee" TargetMode="External"/><Relationship Id="rId456" Type="http://schemas.openxmlformats.org/officeDocument/2006/relationships/hyperlink" Target="mailto:sirje@lasva.ee" TargetMode="External"/><Relationship Id="rId577" Type="http://schemas.openxmlformats.org/officeDocument/2006/relationships/hyperlink" Target="http://www.noortekeskus.eu/" TargetMode="External"/><Relationship Id="rId219" Type="http://schemas.openxmlformats.org/officeDocument/2006/relationships/hyperlink" Target="https://nvv.kovtp.ee/kultuuritegevus" TargetMode="External"/><Relationship Id="rId218" Type="http://schemas.openxmlformats.org/officeDocument/2006/relationships/hyperlink" Target="mailto:noortekeskus@nvv.ee" TargetMode="External"/><Relationship Id="rId339" Type="http://schemas.openxmlformats.org/officeDocument/2006/relationships/hyperlink" Target="http://www.tuletee.ee/labyrint.html" TargetMode="External"/><Relationship Id="rId330" Type="http://schemas.openxmlformats.org/officeDocument/2006/relationships/hyperlink" Target="http://www.lutsuteater.ee/" TargetMode="External"/><Relationship Id="rId451" Type="http://schemas.openxmlformats.org/officeDocument/2006/relationships/hyperlink" Target="https://mtykungla.weebly.com/" TargetMode="External"/><Relationship Id="rId572" Type="http://schemas.openxmlformats.org/officeDocument/2006/relationships/hyperlink" Target="http://www.pyhajarve.edu.ee/" TargetMode="External"/><Relationship Id="rId450" Type="http://schemas.openxmlformats.org/officeDocument/2006/relationships/hyperlink" Target="https://www.facebook.com/groups/471508419546215" TargetMode="External"/><Relationship Id="rId571" Type="http://schemas.openxmlformats.org/officeDocument/2006/relationships/hyperlink" Target="mailto:info@otepaagolf.com" TargetMode="External"/><Relationship Id="rId570" Type="http://schemas.openxmlformats.org/officeDocument/2006/relationships/hyperlink" Target="http://www.otepaagolf.com/et/" TargetMode="External"/><Relationship Id="rId213" Type="http://schemas.openxmlformats.org/officeDocument/2006/relationships/hyperlink" Target="https://nvv.kovtp.ee/noo-koduloomuuseum" TargetMode="External"/><Relationship Id="rId334" Type="http://schemas.openxmlformats.org/officeDocument/2006/relationships/hyperlink" Target="https://maanteemuuseum.ee/" TargetMode="External"/><Relationship Id="rId455" Type="http://schemas.openxmlformats.org/officeDocument/2006/relationships/hyperlink" Target="https://vastseliinalinnus.ee/linnus@vastseliina.ee" TargetMode="External"/><Relationship Id="rId576" Type="http://schemas.openxmlformats.org/officeDocument/2006/relationships/hyperlink" Target="https://www.pyhajarve.com/" TargetMode="External"/><Relationship Id="rId212" Type="http://schemas.openxmlformats.org/officeDocument/2006/relationships/hyperlink" Target="https://jaaaeg.ee/en/" TargetMode="External"/><Relationship Id="rId333" Type="http://schemas.openxmlformats.org/officeDocument/2006/relationships/hyperlink" Target="mailto:polvamaa@wi.ee" TargetMode="External"/><Relationship Id="rId454" Type="http://schemas.openxmlformats.org/officeDocument/2006/relationships/hyperlink" Target="https://vastseliinalinnus.ee/" TargetMode="External"/><Relationship Id="rId575" Type="http://schemas.openxmlformats.org/officeDocument/2006/relationships/hyperlink" Target="http://www.pyhajarve.com/" TargetMode="External"/><Relationship Id="rId211" Type="http://schemas.openxmlformats.org/officeDocument/2006/relationships/hyperlink" Target="https://visittartu.com/et/soomepoiste-tuba-muuseum" TargetMode="External"/><Relationship Id="rId332" Type="http://schemas.openxmlformats.org/officeDocument/2006/relationships/hyperlink" Target="https://karilatsimuuseum.ee/" TargetMode="External"/><Relationship Id="rId453" Type="http://schemas.openxmlformats.org/officeDocument/2006/relationships/hyperlink" Target="https://www.roosutalu.ee/" TargetMode="External"/><Relationship Id="rId574" Type="http://schemas.openxmlformats.org/officeDocument/2006/relationships/hyperlink" Target="mailto:aartain@gmail.com" TargetMode="External"/><Relationship Id="rId210" Type="http://schemas.openxmlformats.org/officeDocument/2006/relationships/hyperlink" Target="http://www.korve.edu.ee/" TargetMode="External"/><Relationship Id="rId331" Type="http://schemas.openxmlformats.org/officeDocument/2006/relationships/hyperlink" Target="https://karilatsimuuseum.ee/" TargetMode="External"/><Relationship Id="rId452" Type="http://schemas.openxmlformats.org/officeDocument/2006/relationships/hyperlink" Target="https://tsolgo.ee/" TargetMode="External"/><Relationship Id="rId573" Type="http://schemas.openxmlformats.org/officeDocument/2006/relationships/hyperlink" Target="http://www.pyhajarve.edu.ee/" TargetMode="External"/><Relationship Id="rId370" Type="http://schemas.openxmlformats.org/officeDocument/2006/relationships/hyperlink" Target="mailto:urvasterk@antsla.ee" TargetMode="External"/><Relationship Id="rId491" Type="http://schemas.openxmlformats.org/officeDocument/2006/relationships/hyperlink" Target="mailto:riinapill@hotmail.com" TargetMode="External"/><Relationship Id="rId490" Type="http://schemas.openxmlformats.org/officeDocument/2006/relationships/hyperlink" Target="mailto:anommik7@gmail.com" TargetMode="External"/><Relationship Id="rId129" Type="http://schemas.openxmlformats.org/officeDocument/2006/relationships/hyperlink" Target="http://www.muuseum.tartu.ee/oskar-lutsu-majamuuseum/" TargetMode="External"/><Relationship Id="rId128" Type="http://schemas.openxmlformats.org/officeDocument/2006/relationships/hyperlink" Target="http://wwww.muuseum.tartu.ee/rent/laulupeomuuseumi-park-paviljoniga/" TargetMode="External"/><Relationship Id="rId249" Type="http://schemas.openxmlformats.org/officeDocument/2006/relationships/hyperlink" Target="mailto:marge.trumsi@rapina.ee" TargetMode="External"/><Relationship Id="rId127" Type="http://schemas.openxmlformats.org/officeDocument/2006/relationships/hyperlink" Target="http://www.muuseum.tartu.ee/kgb-kongide-muuseum/" TargetMode="External"/><Relationship Id="rId248" Type="http://schemas.openxmlformats.org/officeDocument/2006/relationships/hyperlink" Target="https://kultuur.rapina.ee/" TargetMode="External"/><Relationship Id="rId369" Type="http://schemas.openxmlformats.org/officeDocument/2006/relationships/hyperlink" Target="mailto:raamatukogu@kuldre.ee" TargetMode="External"/><Relationship Id="rId126" Type="http://schemas.openxmlformats.org/officeDocument/2006/relationships/hyperlink" Target="http://www.kvak.ee/muuseum/" TargetMode="External"/><Relationship Id="rId247" Type="http://schemas.openxmlformats.org/officeDocument/2006/relationships/hyperlink" Target="mailto:muuseum@rapina.ee" TargetMode="External"/><Relationship Id="rId368" Type="http://schemas.openxmlformats.org/officeDocument/2006/relationships/hyperlink" Target="mailto:evik206@gmail.com" TargetMode="External"/><Relationship Id="rId489" Type="http://schemas.openxmlformats.org/officeDocument/2006/relationships/hyperlink" Target="https://www.kotus.ee/sundmused/" TargetMode="External"/><Relationship Id="rId121" Type="http://schemas.openxmlformats.org/officeDocument/2006/relationships/hyperlink" Target="http://www.zbi.ee/baer/" TargetMode="External"/><Relationship Id="rId242" Type="http://schemas.openxmlformats.org/officeDocument/2006/relationships/hyperlink" Target="https://kylastuskeskus.to.ee/est/kontakt" TargetMode="External"/><Relationship Id="rId363" Type="http://schemas.openxmlformats.org/officeDocument/2006/relationships/hyperlink" Target="http://www.kanepig.edu.ee/" TargetMode="External"/><Relationship Id="rId484" Type="http://schemas.openxmlformats.org/officeDocument/2006/relationships/hyperlink" Target="mailto:munamagi318@gmail.com" TargetMode="External"/><Relationship Id="rId120" Type="http://schemas.openxmlformats.org/officeDocument/2006/relationships/hyperlink" Target="http://www.tahetorn.ut.ee" TargetMode="External"/><Relationship Id="rId241" Type="http://schemas.openxmlformats.org/officeDocument/2006/relationships/hyperlink" Target="https://vvvs.ee/et/avaleht/" TargetMode="External"/><Relationship Id="rId362" Type="http://schemas.openxmlformats.org/officeDocument/2006/relationships/hyperlink" Target="http://www.kanepig.edu.ee/" TargetMode="External"/><Relationship Id="rId483" Type="http://schemas.openxmlformats.org/officeDocument/2006/relationships/hyperlink" Target="http://suurmunamagi.ee" TargetMode="External"/><Relationship Id="rId240" Type="http://schemas.openxmlformats.org/officeDocument/2006/relationships/hyperlink" Target="https://www.facebook.com/profile.php?id=100054600212452" TargetMode="External"/><Relationship Id="rId361" Type="http://schemas.openxmlformats.org/officeDocument/2006/relationships/hyperlink" Target="mailto:valgjarve.raamatukogu@kanepi.ee" TargetMode="External"/><Relationship Id="rId482" Type="http://schemas.openxmlformats.org/officeDocument/2006/relationships/hyperlink" Target="mailto:eda.veeroja@gmail.com" TargetMode="External"/><Relationship Id="rId360" Type="http://schemas.openxmlformats.org/officeDocument/2006/relationships/hyperlink" Target="mailto:maaritsa.raamatukogu@kanepi.ee" TargetMode="External"/><Relationship Id="rId481" Type="http://schemas.openxmlformats.org/officeDocument/2006/relationships/hyperlink" Target="https://revolutsioon.ee" TargetMode="External"/><Relationship Id="rId125" Type="http://schemas.openxmlformats.org/officeDocument/2006/relationships/hyperlink" Target="http://www.typa.ee/" TargetMode="External"/><Relationship Id="rId246" Type="http://schemas.openxmlformats.org/officeDocument/2006/relationships/hyperlink" Target="http://muuseum.rapina.ee/" TargetMode="External"/><Relationship Id="rId367" Type="http://schemas.openxmlformats.org/officeDocument/2006/relationships/hyperlink" Target="mailto:tsoorurk@gmail.com" TargetMode="External"/><Relationship Id="rId488" Type="http://schemas.openxmlformats.org/officeDocument/2006/relationships/hyperlink" Target="mailto:enekaas@gmail.com" TargetMode="External"/><Relationship Id="rId124" Type="http://schemas.openxmlformats.org/officeDocument/2006/relationships/hyperlink" Target="http://www.spordimuuseum.ee/" TargetMode="External"/><Relationship Id="rId245" Type="http://schemas.openxmlformats.org/officeDocument/2006/relationships/hyperlink" Target="https://muuseum.rapina.ee/tutvustus/" TargetMode="External"/><Relationship Id="rId366" Type="http://schemas.openxmlformats.org/officeDocument/2006/relationships/hyperlink" Target="mailto:liana.allas@gmail.com" TargetMode="External"/><Relationship Id="rId487" Type="http://schemas.openxmlformats.org/officeDocument/2006/relationships/hyperlink" Target="https://www.facebook.com/lullemaekultuur" TargetMode="External"/><Relationship Id="rId123" Type="http://schemas.openxmlformats.org/officeDocument/2006/relationships/hyperlink" Target="http://www.erm.ee/" TargetMode="External"/><Relationship Id="rId244" Type="http://schemas.openxmlformats.org/officeDocument/2006/relationships/hyperlink" Target="mailto:kristelhudsi@gmail.com" TargetMode="External"/><Relationship Id="rId365" Type="http://schemas.openxmlformats.org/officeDocument/2006/relationships/hyperlink" Target="mailto:mall2003@hot.ee" TargetMode="External"/><Relationship Id="rId486" Type="http://schemas.openxmlformats.org/officeDocument/2006/relationships/hyperlink" Target="http://www.valgakultuurikeskus.ee/avaleht/" TargetMode="External"/><Relationship Id="rId122" Type="http://schemas.openxmlformats.org/officeDocument/2006/relationships/hyperlink" Target="http://www.kirmus.ee/" TargetMode="External"/><Relationship Id="rId243" Type="http://schemas.openxmlformats.org/officeDocument/2006/relationships/hyperlink" Target="https://lukemois.ee/" TargetMode="External"/><Relationship Id="rId364" Type="http://schemas.openxmlformats.org/officeDocument/2006/relationships/hyperlink" Target="mailto:kanepi@eelk.ee" TargetMode="External"/><Relationship Id="rId485" Type="http://schemas.openxmlformats.org/officeDocument/2006/relationships/hyperlink" Target="https://catlamaja.rauge.ee/" TargetMode="External"/><Relationship Id="rId95" Type="http://schemas.openxmlformats.org/officeDocument/2006/relationships/hyperlink" Target="https://xn--trvandiraamatukogu-t2b.weebly.com/" TargetMode="External"/><Relationship Id="rId94" Type="http://schemas.openxmlformats.org/officeDocument/2006/relationships/hyperlink" Target="mailto:kultuur@ylenurme.ee" TargetMode="External"/><Relationship Id="rId97" Type="http://schemas.openxmlformats.org/officeDocument/2006/relationships/hyperlink" Target="https://xn--trvandiraamatukogu-t2b.weebly.com/haruraamatukogud.html" TargetMode="External"/><Relationship Id="rId96" Type="http://schemas.openxmlformats.org/officeDocument/2006/relationships/hyperlink" Target="mailto:raamatukogu@torvandi.ee" TargetMode="External"/><Relationship Id="rId99" Type="http://schemas.openxmlformats.org/officeDocument/2006/relationships/hyperlink" Target="mailto:raamatukogu@kuuste.edu.ee" TargetMode="External"/><Relationship Id="rId480" Type="http://schemas.openxmlformats.org/officeDocument/2006/relationships/hyperlink" Target="mailto:kunstikuuristoimub@gmail.com" TargetMode="External"/><Relationship Id="rId98" Type="http://schemas.openxmlformats.org/officeDocument/2006/relationships/hyperlink" Target="https://xn--trvandiraamatukogu-t2b.weebly.com/haruraamatukogud.html" TargetMode="External"/><Relationship Id="rId91" Type="http://schemas.openxmlformats.org/officeDocument/2006/relationships/hyperlink" Target="https://www.kambja.ee/rahva-ja-seltsimajad" TargetMode="External"/><Relationship Id="rId90" Type="http://schemas.openxmlformats.org/officeDocument/2006/relationships/hyperlink" Target="mailto:saidi.tammeorg@gmail.com" TargetMode="External"/><Relationship Id="rId93" Type="http://schemas.openxmlformats.org/officeDocument/2006/relationships/hyperlink" Target="https://www.kambja.ee/rahva-ja-seltsimajad" TargetMode="External"/><Relationship Id="rId92" Type="http://schemas.openxmlformats.org/officeDocument/2006/relationships/hyperlink" Target="mailto:edda@kuuste.edu.ee" TargetMode="External"/><Relationship Id="rId118" Type="http://schemas.openxmlformats.org/officeDocument/2006/relationships/hyperlink" Target="https://www.alecoq.ee/ollemuuseum/muuseum/" TargetMode="External"/><Relationship Id="rId239" Type="http://schemas.openxmlformats.org/officeDocument/2006/relationships/hyperlink" Target="mailto:%20info@tsiklitall.ee" TargetMode="External"/><Relationship Id="rId117" Type="http://schemas.openxmlformats.org/officeDocument/2006/relationships/hyperlink" Target="http://www.muuseum.tartu.ee/19-sajandi-linnakodaniku-muuseum/" TargetMode="External"/><Relationship Id="rId238" Type="http://schemas.openxmlformats.org/officeDocument/2006/relationships/hyperlink" Target="http://tsiklitall.ee/kontakt/" TargetMode="External"/><Relationship Id="rId359" Type="http://schemas.openxmlformats.org/officeDocument/2006/relationships/hyperlink" Target="https://www.facebook.com/maaritsaraamatukogu/" TargetMode="External"/><Relationship Id="rId116" Type="http://schemas.openxmlformats.org/officeDocument/2006/relationships/hyperlink" Target="http://www.tmk2.tartu.ee/" TargetMode="External"/><Relationship Id="rId237" Type="http://schemas.openxmlformats.org/officeDocument/2006/relationships/hyperlink" Target="http://tsiklitall.ee/" TargetMode="External"/><Relationship Id="rId358" Type="http://schemas.openxmlformats.org/officeDocument/2006/relationships/hyperlink" Target="mailto:saverna.raamatukogu@kanepi.ee" TargetMode="External"/><Relationship Id="rId479" Type="http://schemas.openxmlformats.org/officeDocument/2006/relationships/hyperlink" Target="https://kunstikuuristoimub.wixsite.com/kunstikuur/kontakt" TargetMode="External"/><Relationship Id="rId115" Type="http://schemas.openxmlformats.org/officeDocument/2006/relationships/hyperlink" Target="http://www.tmk.ee/" TargetMode="External"/><Relationship Id="rId236" Type="http://schemas.openxmlformats.org/officeDocument/2006/relationships/hyperlink" Target="https://nvv.kovtp.ee/kirikud-ja-kogudused" TargetMode="External"/><Relationship Id="rId357" Type="http://schemas.openxmlformats.org/officeDocument/2006/relationships/hyperlink" Target="mailto:karilatsi.raamatukogu@kanepi.ee" TargetMode="External"/><Relationship Id="rId478" Type="http://schemas.openxmlformats.org/officeDocument/2006/relationships/hyperlink" Target="mailto:ingrid@filmivargamae.ee" TargetMode="External"/><Relationship Id="rId599" Type="http://schemas.openxmlformats.org/officeDocument/2006/relationships/hyperlink" Target="http://www.viljandijaahall.ee/" TargetMode="External"/><Relationship Id="rId119" Type="http://schemas.openxmlformats.org/officeDocument/2006/relationships/hyperlink" Target="http://www.ahhaa.ee/" TargetMode="External"/><Relationship Id="rId110" Type="http://schemas.openxmlformats.org/officeDocument/2006/relationships/hyperlink" Target="https://www.vanemuine.ee/teatrimajad/sadamateater/" TargetMode="External"/><Relationship Id="rId231" Type="http://schemas.openxmlformats.org/officeDocument/2006/relationships/hyperlink" Target="https://nrg.edu.ee/et" TargetMode="External"/><Relationship Id="rId352" Type="http://schemas.openxmlformats.org/officeDocument/2006/relationships/hyperlink" Target="http://saverna@kanepi.ee/" TargetMode="External"/><Relationship Id="rId473" Type="http://schemas.openxmlformats.org/officeDocument/2006/relationships/hyperlink" Target="https://www.facebook.com/VarstuNoortemaja/" TargetMode="External"/><Relationship Id="rId594" Type="http://schemas.openxmlformats.org/officeDocument/2006/relationships/hyperlink" Target="https://www.sakalakeskus.ee/asukoht/viljandi-vana-lennukitehas/" TargetMode="External"/><Relationship Id="rId230" Type="http://schemas.openxmlformats.org/officeDocument/2006/relationships/hyperlink" Target="http://noosport.ee/" TargetMode="External"/><Relationship Id="rId351" Type="http://schemas.openxmlformats.org/officeDocument/2006/relationships/hyperlink" Target="https://www.facebook.com/savernaank" TargetMode="External"/><Relationship Id="rId472" Type="http://schemas.openxmlformats.org/officeDocument/2006/relationships/hyperlink" Target="https://www.facebook.com/monistenoored/" TargetMode="External"/><Relationship Id="rId593" Type="http://schemas.openxmlformats.org/officeDocument/2006/relationships/hyperlink" Target="https://www.forumcinemas.ee/cinemas/centrum" TargetMode="External"/><Relationship Id="rId350" Type="http://schemas.openxmlformats.org/officeDocument/2006/relationships/hyperlink" Target="mailto:kanepi.noortekeskus@gmail.com" TargetMode="External"/><Relationship Id="rId471" Type="http://schemas.openxmlformats.org/officeDocument/2006/relationships/hyperlink" Target="https://www.facebook.com/Haanja-noortemaja-107925950587837/" TargetMode="External"/><Relationship Id="rId592" Type="http://schemas.openxmlformats.org/officeDocument/2006/relationships/hyperlink" Target="http://muuseum.viljandimaa.ee/www/" TargetMode="External"/><Relationship Id="rId470" Type="http://schemas.openxmlformats.org/officeDocument/2006/relationships/hyperlink" Target="https://www.eoc.ee/kogudus/plaani-puha-nikolai-kirik/?v=a57b8491d1d8" TargetMode="External"/><Relationship Id="rId591" Type="http://schemas.openxmlformats.org/officeDocument/2006/relationships/hyperlink" Target="https://seasaareteater.ee/" TargetMode="External"/><Relationship Id="rId114" Type="http://schemas.openxmlformats.org/officeDocument/2006/relationships/hyperlink" Target="https://www.vanemuine.ee/teatrimajad/vanemuise-vaike-maja/" TargetMode="External"/><Relationship Id="rId235" Type="http://schemas.openxmlformats.org/officeDocument/2006/relationships/hyperlink" Target="http://nookirik.ee/" TargetMode="External"/><Relationship Id="rId356" Type="http://schemas.openxmlformats.org/officeDocument/2006/relationships/hyperlink" Target="mailto:krootuse.raamatukogu@kanepi.ee" TargetMode="External"/><Relationship Id="rId477" Type="http://schemas.openxmlformats.org/officeDocument/2006/relationships/hyperlink" Target="http://www.filmivargamae.ee/" TargetMode="External"/><Relationship Id="rId598" Type="http://schemas.openxmlformats.org/officeDocument/2006/relationships/hyperlink" Target="http://www.viljandispordikeskus.ee/" TargetMode="External"/><Relationship Id="rId113" Type="http://schemas.openxmlformats.org/officeDocument/2006/relationships/hyperlink" Target="http://www.karlovateater.ee/" TargetMode="External"/><Relationship Id="rId234" Type="http://schemas.openxmlformats.org/officeDocument/2006/relationships/hyperlink" Target="mailto:nmuusika@nvv.ee" TargetMode="External"/><Relationship Id="rId355" Type="http://schemas.openxmlformats.org/officeDocument/2006/relationships/hyperlink" Target="mailto:kanepi.raamatukogu@kanepi.ee" TargetMode="External"/><Relationship Id="rId476" Type="http://schemas.openxmlformats.org/officeDocument/2006/relationships/hyperlink" Target="https://www.facebook.com/Luutsniku" TargetMode="External"/><Relationship Id="rId597" Type="http://schemas.openxmlformats.org/officeDocument/2006/relationships/hyperlink" Target="http://www.kondas.ee/" TargetMode="External"/><Relationship Id="rId112" Type="http://schemas.openxmlformats.org/officeDocument/2006/relationships/hyperlink" Target="http://www.vanemuine.ee/teatrimajad/vanemuise-suur-maja/" TargetMode="External"/><Relationship Id="rId233" Type="http://schemas.openxmlformats.org/officeDocument/2006/relationships/hyperlink" Target="https://muusika.nvv.ee/saal/tutvustus/" TargetMode="External"/><Relationship Id="rId354" Type="http://schemas.openxmlformats.org/officeDocument/2006/relationships/hyperlink" Target="http://krootuse@kanepi.ee/" TargetMode="External"/><Relationship Id="rId475" Type="http://schemas.openxmlformats.org/officeDocument/2006/relationships/hyperlink" Target="https://www.facebook.com/ruusmaenoortekas/" TargetMode="External"/><Relationship Id="rId596" Type="http://schemas.openxmlformats.org/officeDocument/2006/relationships/hyperlink" Target="https://www.rukigalerii.ee/" TargetMode="External"/><Relationship Id="rId111" Type="http://schemas.openxmlformats.org/officeDocument/2006/relationships/hyperlink" Target="http://www.uusteater.ee/" TargetMode="External"/><Relationship Id="rId232" Type="http://schemas.openxmlformats.org/officeDocument/2006/relationships/hyperlink" Target="mailto:kool@nrg.edu.ee" TargetMode="External"/><Relationship Id="rId353" Type="http://schemas.openxmlformats.org/officeDocument/2006/relationships/hyperlink" Target="https://www.facebook.com/KollesteANK" TargetMode="External"/><Relationship Id="rId474" Type="http://schemas.openxmlformats.org/officeDocument/2006/relationships/hyperlink" Target="https://rntk.ee/" TargetMode="External"/><Relationship Id="rId595" Type="http://schemas.openxmlformats.org/officeDocument/2006/relationships/hyperlink" Target="http://raamatukogu.viljandi.ee/" TargetMode="External"/><Relationship Id="rId305" Type="http://schemas.openxmlformats.org/officeDocument/2006/relationships/hyperlink" Target="mailto:tilsi@raamat.polva.ee" TargetMode="External"/><Relationship Id="rId426" Type="http://schemas.openxmlformats.org/officeDocument/2006/relationships/hyperlink" Target="mailto:hanikase@orava.ee" TargetMode="External"/><Relationship Id="rId547" Type="http://schemas.openxmlformats.org/officeDocument/2006/relationships/hyperlink" Target="http://www.kirmus.ee/nypli" TargetMode="External"/><Relationship Id="rId304" Type="http://schemas.openxmlformats.org/officeDocument/2006/relationships/hyperlink" Target="mailto:rasina@raamat.polva.ee" TargetMode="External"/><Relationship Id="rId425" Type="http://schemas.openxmlformats.org/officeDocument/2006/relationships/hyperlink" Target="mailto:heiki.kelp@vorukannel.ee" TargetMode="External"/><Relationship Id="rId546" Type="http://schemas.openxmlformats.org/officeDocument/2006/relationships/hyperlink" Target="https://www.eoc.ee/kogudus/ilmjarve-jumalailmutamise-kogudus/?v=a57b8491d1d8" TargetMode="External"/><Relationship Id="rId303" Type="http://schemas.openxmlformats.org/officeDocument/2006/relationships/hyperlink" Target="mailto:vanakyla@raamat.polva.ee" TargetMode="External"/><Relationship Id="rId424" Type="http://schemas.openxmlformats.org/officeDocument/2006/relationships/hyperlink" Target="https://www.vorumuusikakool.ee/" TargetMode="External"/><Relationship Id="rId545" Type="http://schemas.openxmlformats.org/officeDocument/2006/relationships/hyperlink" Target="http://mailto:%20puka@kogudused.ee/" TargetMode="External"/><Relationship Id="rId302" Type="http://schemas.openxmlformats.org/officeDocument/2006/relationships/hyperlink" Target="mailto:taevaskoja@raamat.polva.ee" TargetMode="External"/><Relationship Id="rId423" Type="http://schemas.openxmlformats.org/officeDocument/2006/relationships/hyperlink" Target="mailto:info@voruspordikeskus.ee" TargetMode="External"/><Relationship Id="rId544" Type="http://schemas.openxmlformats.org/officeDocument/2006/relationships/hyperlink" Target="https://kogudused.ee/puka-vabakogudus/" TargetMode="External"/><Relationship Id="rId309" Type="http://schemas.openxmlformats.org/officeDocument/2006/relationships/hyperlink" Target="http://www.kauksi.edu.ee/" TargetMode="External"/><Relationship Id="rId308" Type="http://schemas.openxmlformats.org/officeDocument/2006/relationships/hyperlink" Target="http://www.ahjakool.ee/" TargetMode="External"/><Relationship Id="rId429" Type="http://schemas.openxmlformats.org/officeDocument/2006/relationships/hyperlink" Target="mailto:ylle.ermel@gmail.com" TargetMode="External"/><Relationship Id="rId307" Type="http://schemas.openxmlformats.org/officeDocument/2006/relationships/hyperlink" Target="mailto:vkuuste@raamat.polva.ee" TargetMode="External"/><Relationship Id="rId428" Type="http://schemas.openxmlformats.org/officeDocument/2006/relationships/hyperlink" Target="mailto:kaaparaamatukogu@voruvald.ee" TargetMode="External"/><Relationship Id="rId549" Type="http://schemas.openxmlformats.org/officeDocument/2006/relationships/hyperlink" Target="http://www.nuustaku.edu.ee/" TargetMode="External"/><Relationship Id="rId306" Type="http://schemas.openxmlformats.org/officeDocument/2006/relationships/hyperlink" Target="http://vkuuste.raamat.polvavald.ee/" TargetMode="External"/><Relationship Id="rId427" Type="http://schemas.openxmlformats.org/officeDocument/2006/relationships/hyperlink" Target="mailto:kirepiraamat@gmail.com" TargetMode="External"/><Relationship Id="rId548" Type="http://schemas.openxmlformats.org/officeDocument/2006/relationships/hyperlink" Target="mailto:karupuh@mail.ee" TargetMode="External"/><Relationship Id="rId301" Type="http://schemas.openxmlformats.org/officeDocument/2006/relationships/hyperlink" Target="mailto:peri@raamat.polva.ee" TargetMode="External"/><Relationship Id="rId422" Type="http://schemas.openxmlformats.org/officeDocument/2006/relationships/hyperlink" Target="http://www.voruspordikeskus.ee/" TargetMode="External"/><Relationship Id="rId543" Type="http://schemas.openxmlformats.org/officeDocument/2006/relationships/hyperlink" Target="http://mailto:%20info@palverandur.ee/" TargetMode="External"/><Relationship Id="rId300" Type="http://schemas.openxmlformats.org/officeDocument/2006/relationships/hyperlink" Target="mailto:kiuma@raamat.polva.ee" TargetMode="External"/><Relationship Id="rId421" Type="http://schemas.openxmlformats.org/officeDocument/2006/relationships/hyperlink" Target="https://vorunoortekeskus.ee/" TargetMode="External"/><Relationship Id="rId542" Type="http://schemas.openxmlformats.org/officeDocument/2006/relationships/hyperlink" Target="http://www.palverandur.ee/" TargetMode="External"/><Relationship Id="rId420" Type="http://schemas.openxmlformats.org/officeDocument/2006/relationships/hyperlink" Target="mailto:ilon.fraiman@gmail.com" TargetMode="External"/><Relationship Id="rId541" Type="http://schemas.openxmlformats.org/officeDocument/2006/relationships/hyperlink" Target="http://mailto:%20pill@hot.ee/" TargetMode="External"/><Relationship Id="rId540" Type="http://schemas.openxmlformats.org/officeDocument/2006/relationships/hyperlink" Target="http://www.valgapraostkond.ee/index.php?op=3&amp;path=Sangaste" TargetMode="External"/><Relationship Id="rId415" Type="http://schemas.openxmlformats.org/officeDocument/2006/relationships/hyperlink" Target="https://lib.werro.ee/" TargetMode="External"/><Relationship Id="rId536" Type="http://schemas.openxmlformats.org/officeDocument/2006/relationships/hyperlink" Target="http://kuigatsi.edicypages.com/klamaja/raamatukogu" TargetMode="External"/><Relationship Id="rId414" Type="http://schemas.openxmlformats.org/officeDocument/2006/relationships/hyperlink" Target="mailto:treskikyyn@gmail.com" TargetMode="External"/><Relationship Id="rId535" Type="http://schemas.openxmlformats.org/officeDocument/2006/relationships/hyperlink" Target="http://Mailto:%20Ene.Markov@otepaa.ee/" TargetMode="External"/><Relationship Id="rId413" Type="http://schemas.openxmlformats.org/officeDocument/2006/relationships/hyperlink" Target="https://www.treskikyyn.ee/et" TargetMode="External"/><Relationship Id="rId534" Type="http://schemas.openxmlformats.org/officeDocument/2006/relationships/hyperlink" Target="http://pukark.onepagefree.com/index.php" TargetMode="External"/><Relationship Id="rId412" Type="http://schemas.openxmlformats.org/officeDocument/2006/relationships/hyperlink" Target="mailto:evar.riitsaar@gmail.com" TargetMode="External"/><Relationship Id="rId533" Type="http://schemas.openxmlformats.org/officeDocument/2006/relationships/hyperlink" Target="http://pukark.onepagefree.com/index.php" TargetMode="External"/><Relationship Id="rId419" Type="http://schemas.openxmlformats.org/officeDocument/2006/relationships/hyperlink" Target="http://www.eelk.ee/voru.katariina/" TargetMode="External"/><Relationship Id="rId418" Type="http://schemas.openxmlformats.org/officeDocument/2006/relationships/hyperlink" Target="https://vorumuuseum.ee/" TargetMode="External"/><Relationship Id="rId539" Type="http://schemas.openxmlformats.org/officeDocument/2006/relationships/hyperlink" Target="http://mailto:%20marko.tiirmaa@eelk.ee/" TargetMode="External"/><Relationship Id="rId417" Type="http://schemas.openxmlformats.org/officeDocument/2006/relationships/hyperlink" Target="https://lauluisa.ee/" TargetMode="External"/><Relationship Id="rId538" Type="http://schemas.openxmlformats.org/officeDocument/2006/relationships/hyperlink" Target="https://www.facebook.com/EELK-Otep%C3%A4%C3%A4-Maarja-kirik-229968010416405/" TargetMode="External"/><Relationship Id="rId416" Type="http://schemas.openxmlformats.org/officeDocument/2006/relationships/hyperlink" Target="mailto:info@lib.werro.ee" TargetMode="External"/><Relationship Id="rId537" Type="http://schemas.openxmlformats.org/officeDocument/2006/relationships/hyperlink" Target="http://mailto:%20Tiiu.Treimuth@otepaa.ee/" TargetMode="External"/><Relationship Id="rId411" Type="http://schemas.openxmlformats.org/officeDocument/2006/relationships/hyperlink" Target="https://www.facebook.com/Seto-Ateljee-Galerii-156533907711645/" TargetMode="External"/><Relationship Id="rId532" Type="http://schemas.openxmlformats.org/officeDocument/2006/relationships/hyperlink" Target="mailto:%20Anne.Udekyll@otepaa.ee" TargetMode="External"/><Relationship Id="rId410" Type="http://schemas.openxmlformats.org/officeDocument/2006/relationships/hyperlink" Target="mailto:viivika.helmed@gmail.com" TargetMode="External"/><Relationship Id="rId531" Type="http://schemas.openxmlformats.org/officeDocument/2006/relationships/hyperlink" Target="mailto:Heili.Kalbri@otepaa.ee" TargetMode="External"/><Relationship Id="rId530" Type="http://schemas.openxmlformats.org/officeDocument/2006/relationships/hyperlink" Target="mailto:Heili.Kalbri@otepaa.ee" TargetMode="External"/><Relationship Id="rId206" Type="http://schemas.openxmlformats.org/officeDocument/2006/relationships/hyperlink" Target="http://noortekad.tartuvald.ee/maarja" TargetMode="External"/><Relationship Id="rId327" Type="http://schemas.openxmlformats.org/officeDocument/2006/relationships/hyperlink" Target="https://polva.eelk.ee/" TargetMode="External"/><Relationship Id="rId448" Type="http://schemas.openxmlformats.org/officeDocument/2006/relationships/hyperlink" Target="https://www.facebook.com/NaviSeltsimaja/" TargetMode="External"/><Relationship Id="rId569" Type="http://schemas.openxmlformats.org/officeDocument/2006/relationships/hyperlink" Target="http://www.otepaagolf.ee/" TargetMode="External"/><Relationship Id="rId205" Type="http://schemas.openxmlformats.org/officeDocument/2006/relationships/hyperlink" Target="http://noortekad.tartuvald.ee/lahte" TargetMode="External"/><Relationship Id="rId326" Type="http://schemas.openxmlformats.org/officeDocument/2006/relationships/hyperlink" Target="http://www.mooste.ekklesia.ee/" TargetMode="External"/><Relationship Id="rId447" Type="http://schemas.openxmlformats.org/officeDocument/2006/relationships/hyperlink" Target="https://humaliste.wordpress.com" TargetMode="External"/><Relationship Id="rId568" Type="http://schemas.openxmlformats.org/officeDocument/2006/relationships/hyperlink" Target="http://www.anso.ee/" TargetMode="External"/><Relationship Id="rId204" Type="http://schemas.openxmlformats.org/officeDocument/2006/relationships/hyperlink" Target="http://noortekad.tartuvald.ee/laeva" TargetMode="External"/><Relationship Id="rId325" Type="http://schemas.openxmlformats.org/officeDocument/2006/relationships/hyperlink" Target="https://www.metodistikirik.ee/index.php/kogudus/karsa" TargetMode="External"/><Relationship Id="rId446" Type="http://schemas.openxmlformats.org/officeDocument/2006/relationships/hyperlink" Target="http://www.lootsatalu.ee" TargetMode="External"/><Relationship Id="rId567" Type="http://schemas.openxmlformats.org/officeDocument/2006/relationships/hyperlink" Target="http://www.munakas.ee/" TargetMode="External"/><Relationship Id="rId203" Type="http://schemas.openxmlformats.org/officeDocument/2006/relationships/hyperlink" Target="http://aksikogudus.org/" TargetMode="External"/><Relationship Id="rId324" Type="http://schemas.openxmlformats.org/officeDocument/2006/relationships/hyperlink" Target="https://muusikakool.polva.ee/" TargetMode="External"/><Relationship Id="rId445" Type="http://schemas.openxmlformats.org/officeDocument/2006/relationships/hyperlink" Target="mailto:viivea@hot.ee" TargetMode="External"/><Relationship Id="rId566" Type="http://schemas.openxmlformats.org/officeDocument/2006/relationships/hyperlink" Target="http://www.munakas.ee/index.php" TargetMode="External"/><Relationship Id="rId209" Type="http://schemas.openxmlformats.org/officeDocument/2006/relationships/hyperlink" Target="https://webzone.ee/korvesh/asukoht.php" TargetMode="External"/><Relationship Id="rId208" Type="http://schemas.openxmlformats.org/officeDocument/2006/relationships/hyperlink" Target="https://tartuvallaspordikool.ee/" TargetMode="External"/><Relationship Id="rId329" Type="http://schemas.openxmlformats.org/officeDocument/2006/relationships/hyperlink" Target="http://www.eoc.ee/kogudus/kahri-peaingel-miikaeli-kogudus/" TargetMode="External"/><Relationship Id="rId207" Type="http://schemas.openxmlformats.org/officeDocument/2006/relationships/hyperlink" Target="http://noortekad.tartuvald.ee/tabivere" TargetMode="External"/><Relationship Id="rId328" Type="http://schemas.openxmlformats.org/officeDocument/2006/relationships/hyperlink" Target="http://polva.elusona.ee/" TargetMode="External"/><Relationship Id="rId449" Type="http://schemas.openxmlformats.org/officeDocument/2006/relationships/hyperlink" Target="mailto:navikylaselts@gmail.com" TargetMode="External"/><Relationship Id="rId440" Type="http://schemas.openxmlformats.org/officeDocument/2006/relationships/hyperlink" Target="mailto:kaapanoortekeskus@voruvald.ee" TargetMode="External"/><Relationship Id="rId561" Type="http://schemas.openxmlformats.org/officeDocument/2006/relationships/hyperlink" Target="http://www.kaariku.com/" TargetMode="External"/><Relationship Id="rId560" Type="http://schemas.openxmlformats.org/officeDocument/2006/relationships/hyperlink" Target="http://mailto:%20tehvandi@tehvandi.ee/" TargetMode="External"/><Relationship Id="rId202" Type="http://schemas.openxmlformats.org/officeDocument/2006/relationships/hyperlink" Target="http://www.kultuur.tartuvald.ee/laeva" TargetMode="External"/><Relationship Id="rId323" Type="http://schemas.openxmlformats.org/officeDocument/2006/relationships/hyperlink" Target="http://www.moostemois.ee/" TargetMode="External"/><Relationship Id="rId444" Type="http://schemas.openxmlformats.org/officeDocument/2006/relationships/hyperlink" Target="https://www.facebook.com/LoosiKandiSelts" TargetMode="External"/><Relationship Id="rId565" Type="http://schemas.openxmlformats.org/officeDocument/2006/relationships/hyperlink" Target="mailto:fun@kuutsemae.ee" TargetMode="External"/><Relationship Id="rId201" Type="http://schemas.openxmlformats.org/officeDocument/2006/relationships/hyperlink" Target="http://www.kultuur.tartuvald.ee/maarja" TargetMode="External"/><Relationship Id="rId322" Type="http://schemas.openxmlformats.org/officeDocument/2006/relationships/hyperlink" Target="mailto:muusikakool@rahvamuusika.ee" TargetMode="External"/><Relationship Id="rId443" Type="http://schemas.openxmlformats.org/officeDocument/2006/relationships/hyperlink" Target="mailto:parkseparahvamaja@voruvald.ee" TargetMode="External"/><Relationship Id="rId564" Type="http://schemas.openxmlformats.org/officeDocument/2006/relationships/hyperlink" Target="https://www.kuutsemae.ee/" TargetMode="External"/><Relationship Id="rId200" Type="http://schemas.openxmlformats.org/officeDocument/2006/relationships/hyperlink" Target="https://tmk.tartuvald.ee/?p=290" TargetMode="External"/><Relationship Id="rId321" Type="http://schemas.openxmlformats.org/officeDocument/2006/relationships/hyperlink" Target="http://moosterahvamuusikakool.blogspot.com/p/asukoht.html" TargetMode="External"/><Relationship Id="rId442" Type="http://schemas.openxmlformats.org/officeDocument/2006/relationships/hyperlink" Target="https://vastseliinanoortekeskus.ee/" TargetMode="External"/><Relationship Id="rId563" Type="http://schemas.openxmlformats.org/officeDocument/2006/relationships/hyperlink" Target="http://www.kuutsemae.ee/" TargetMode="External"/><Relationship Id="rId320" Type="http://schemas.openxmlformats.org/officeDocument/2006/relationships/hyperlink" Target="http://moosterahvamuusikakool.blogspot.com.ee/" TargetMode="External"/><Relationship Id="rId441" Type="http://schemas.openxmlformats.org/officeDocument/2006/relationships/hyperlink" Target="mailto:puigarahvamaja@voruvald.ee" TargetMode="External"/><Relationship Id="rId562" Type="http://schemas.openxmlformats.org/officeDocument/2006/relationships/hyperlink" Target="http://www.kaariku.com/" TargetMode="External"/><Relationship Id="rId316" Type="http://schemas.openxmlformats.org/officeDocument/2006/relationships/hyperlink" Target="https://www.spordiregister.ee/et/ehitis/3080/ropka_tenniseklubi_tennisevaljak" TargetMode="External"/><Relationship Id="rId437" Type="http://schemas.openxmlformats.org/officeDocument/2006/relationships/hyperlink" Target="http://vastseliina.eelk.ee/" TargetMode="External"/><Relationship Id="rId558" Type="http://schemas.openxmlformats.org/officeDocument/2006/relationships/hyperlink" Target="http://www.tehvandi.ee/" TargetMode="External"/><Relationship Id="rId315" Type="http://schemas.openxmlformats.org/officeDocument/2006/relationships/hyperlink" Target="https://polvaspordikool.weebly.com/" TargetMode="External"/><Relationship Id="rId436" Type="http://schemas.openxmlformats.org/officeDocument/2006/relationships/hyperlink" Target="https://pindi.eelk.ee/" TargetMode="External"/><Relationship Id="rId557" Type="http://schemas.openxmlformats.org/officeDocument/2006/relationships/hyperlink" Target="mailto:%20mae@veskimuuseum.ee" TargetMode="External"/><Relationship Id="rId314" Type="http://schemas.openxmlformats.org/officeDocument/2006/relationships/hyperlink" Target="https://www.facebook.com/mty.soprus" TargetMode="External"/><Relationship Id="rId435" Type="http://schemas.openxmlformats.org/officeDocument/2006/relationships/hyperlink" Target="https://vorumuuseum.ee/" TargetMode="External"/><Relationship Id="rId556" Type="http://schemas.openxmlformats.org/officeDocument/2006/relationships/hyperlink" Target="http://www.veskimuuseum.ee/" TargetMode="External"/><Relationship Id="rId313" Type="http://schemas.openxmlformats.org/officeDocument/2006/relationships/hyperlink" Target="http://www.polva.ee/" TargetMode="External"/><Relationship Id="rId434" Type="http://schemas.openxmlformats.org/officeDocument/2006/relationships/hyperlink" Target="mailto:ylle.pungits@vkhk.ee" TargetMode="External"/><Relationship Id="rId555" Type="http://schemas.openxmlformats.org/officeDocument/2006/relationships/hyperlink" Target="mailto:jaan.uibo@gmail.com" TargetMode="External"/><Relationship Id="rId319" Type="http://schemas.openxmlformats.org/officeDocument/2006/relationships/hyperlink" Target="https://intsikurmu.com/" TargetMode="External"/><Relationship Id="rId318" Type="http://schemas.openxmlformats.org/officeDocument/2006/relationships/hyperlink" Target="http://www.vkuuste.edu.ee/" TargetMode="External"/><Relationship Id="rId439" Type="http://schemas.openxmlformats.org/officeDocument/2006/relationships/hyperlink" Target="mailto:ullar.salumets@eelk.ee" TargetMode="External"/><Relationship Id="rId317" Type="http://schemas.openxmlformats.org/officeDocument/2006/relationships/hyperlink" Target="http://www.tilsikool.edu.ee/" TargetMode="External"/><Relationship Id="rId438" Type="http://schemas.openxmlformats.org/officeDocument/2006/relationships/hyperlink" Target="https://urvaste.eelk.ee/hooned/heimtali-kirik.html" TargetMode="External"/><Relationship Id="rId559" Type="http://schemas.openxmlformats.org/officeDocument/2006/relationships/hyperlink" Target="http://www.tehvandi.ee/" TargetMode="External"/><Relationship Id="rId550" Type="http://schemas.openxmlformats.org/officeDocument/2006/relationships/hyperlink" Target="mailto:kool@nuustaku.edu.ee" TargetMode="External"/><Relationship Id="rId312" Type="http://schemas.openxmlformats.org/officeDocument/2006/relationships/hyperlink" Target="http://www.fclootos.ee/" TargetMode="External"/><Relationship Id="rId433" Type="http://schemas.openxmlformats.org/officeDocument/2006/relationships/hyperlink" Target="mailto:valiinark@gmail.com" TargetMode="External"/><Relationship Id="rId554" Type="http://schemas.openxmlformats.org/officeDocument/2006/relationships/hyperlink" Target="mailto:jaan.uibo@gmail.com" TargetMode="External"/><Relationship Id="rId311" Type="http://schemas.openxmlformats.org/officeDocument/2006/relationships/hyperlink" Target="https://www.facebook.com/MoosteKultuurimaja/" TargetMode="External"/><Relationship Id="rId432" Type="http://schemas.openxmlformats.org/officeDocument/2006/relationships/hyperlink" Target="mailto:tiiupihla@gmail.com" TargetMode="External"/><Relationship Id="rId553" Type="http://schemas.openxmlformats.org/officeDocument/2006/relationships/hyperlink" Target="http://www.valgapraostkond.ee/index.php?op=3&amp;path=Otep%E4%E4%2FEesti+Lipu+Muuseum" TargetMode="External"/><Relationship Id="rId310" Type="http://schemas.openxmlformats.org/officeDocument/2006/relationships/hyperlink" Target="http://www.tervisespordikeskus.ee/" TargetMode="External"/><Relationship Id="rId431" Type="http://schemas.openxmlformats.org/officeDocument/2006/relationships/hyperlink" Target="mailto:spalu.rk@gmail.com" TargetMode="External"/><Relationship Id="rId552" Type="http://schemas.openxmlformats.org/officeDocument/2006/relationships/hyperlink" Target="http://mailto:%20tehvandi@tehvandi.ee/" TargetMode="External"/><Relationship Id="rId430" Type="http://schemas.openxmlformats.org/officeDocument/2006/relationships/hyperlink" Target="mailto:parkseparaamatukogu@voruvald.ee" TargetMode="External"/><Relationship Id="rId551" Type="http://schemas.openxmlformats.org/officeDocument/2006/relationships/hyperlink" Target="http://www.tehvandi.e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m.ee" TargetMode="External"/><Relationship Id="rId2" Type="http://schemas.openxmlformats.org/officeDocument/2006/relationships/hyperlink" Target="http://www.vanemuine.ee/teatrimajad/sadamateater/" TargetMode="External"/><Relationship Id="rId3" Type="http://schemas.openxmlformats.org/officeDocument/2006/relationships/hyperlink" Target="http://www.uusteater.ee" TargetMode="External"/><Relationship Id="rId4" Type="http://schemas.openxmlformats.org/officeDocument/2006/relationships/hyperlink" Target="http://www.vanemuine.ee/teatrimajad/vanemuise-suur-maja/" TargetMode="External"/><Relationship Id="rId9" Type="http://schemas.openxmlformats.org/officeDocument/2006/relationships/hyperlink" Target="http://www.muuseum.tartu.ee/19-sajandi-linnakodaniku-muuseum/" TargetMode="External"/><Relationship Id="rId5" Type="http://schemas.openxmlformats.org/officeDocument/2006/relationships/hyperlink" Target="http://www.karlovateater.ee" TargetMode="External"/><Relationship Id="rId6" Type="http://schemas.openxmlformats.org/officeDocument/2006/relationships/hyperlink" Target="http://www.vanemuine.ee/teatrimajad/vanemuise-vaike-maja/" TargetMode="External"/><Relationship Id="rId7" Type="http://schemas.openxmlformats.org/officeDocument/2006/relationships/hyperlink" Target="http://www.tmk.ee" TargetMode="External"/><Relationship Id="rId8" Type="http://schemas.openxmlformats.org/officeDocument/2006/relationships/hyperlink" Target="http://www.tmk2.tartu.ee" TargetMode="External"/><Relationship Id="rId40" Type="http://schemas.openxmlformats.org/officeDocument/2006/relationships/hyperlink" Target="http://www.pallasart.ee/galerii-pallas/" TargetMode="External"/><Relationship Id="rId42" Type="http://schemas.openxmlformats.org/officeDocument/2006/relationships/hyperlink" Target="http://www.kogogallery.ee" TargetMode="External"/><Relationship Id="rId41" Type="http://schemas.openxmlformats.org/officeDocument/2006/relationships/hyperlink" Target="http://www.facebook.com/Gildi-galerii-573217399401495/" TargetMode="External"/><Relationship Id="rId44" Type="http://schemas.openxmlformats.org/officeDocument/2006/relationships/hyperlink" Target="http://www.tym.ee" TargetMode="External"/><Relationship Id="rId43" Type="http://schemas.openxmlformats.org/officeDocument/2006/relationships/hyperlink" Target="http://www.tiigiseltsimaja.tartu.ee" TargetMode="External"/><Relationship Id="rId46" Type="http://schemas.openxmlformats.org/officeDocument/2006/relationships/hyperlink" Target="http://www.klubi.tartujazz.ee" TargetMode="External"/><Relationship Id="rId45" Type="http://schemas.openxmlformats.org/officeDocument/2006/relationships/hyperlink" Target="http://www.genklubi.ee" TargetMode="External"/><Relationship Id="rId48" Type="http://schemas.openxmlformats.org/officeDocument/2006/relationships/hyperlink" Target="http://www.rocknroll.ee" TargetMode="External"/><Relationship Id="rId47" Type="http://schemas.openxmlformats.org/officeDocument/2006/relationships/hyperlink" Target="http://www.illusion.ee" TargetMode="External"/><Relationship Id="rId49" Type="http://schemas.openxmlformats.org/officeDocument/2006/relationships/hyperlink" Target="http://www.maasikas.com" TargetMode="External"/><Relationship Id="rId31" Type="http://schemas.openxmlformats.org/officeDocument/2006/relationships/hyperlink" Target="http://www.apollokino.ee" TargetMode="External"/><Relationship Id="rId30" Type="http://schemas.openxmlformats.org/officeDocument/2006/relationships/hyperlink" Target="http://www.elektriteater.ee" TargetMode="External"/><Relationship Id="rId33" Type="http://schemas.openxmlformats.org/officeDocument/2006/relationships/hyperlink" Target="http://www.luterlik.edu.ee/athena-keskus/" TargetMode="External"/><Relationship Id="rId32" Type="http://schemas.openxmlformats.org/officeDocument/2006/relationships/hyperlink" Target="http://www.apollokino.ee" TargetMode="External"/><Relationship Id="rId35" Type="http://schemas.openxmlformats.org/officeDocument/2006/relationships/hyperlink" Target="http://www.utlib.ut.ee" TargetMode="External"/><Relationship Id="rId34" Type="http://schemas.openxmlformats.org/officeDocument/2006/relationships/hyperlink" Target="http://www.luts.ee" TargetMode="External"/><Relationship Id="rId37" Type="http://schemas.openxmlformats.org/officeDocument/2006/relationships/hyperlink" Target="http://www.loovtartu.ee/lmk/kylastajale/antonius" TargetMode="External"/><Relationship Id="rId36" Type="http://schemas.openxmlformats.org/officeDocument/2006/relationships/hyperlink" Target="http://www.loovtartu.ee" TargetMode="External"/><Relationship Id="rId39" Type="http://schemas.openxmlformats.org/officeDocument/2006/relationships/hyperlink" Target="http://www.kammivabrik.ee" TargetMode="External"/><Relationship Id="rId38" Type="http://schemas.openxmlformats.org/officeDocument/2006/relationships/hyperlink" Target="http://www.kammivabrik.ee" TargetMode="External"/><Relationship Id="rId20" Type="http://schemas.openxmlformats.org/officeDocument/2006/relationships/hyperlink" Target="http://wwww.muuseum.tartu.ee/rent/laulupeomuuseumi-park-paviljoniga/" TargetMode="External"/><Relationship Id="rId22" Type="http://schemas.openxmlformats.org/officeDocument/2006/relationships/hyperlink" Target="http://www.muuseum.taniloo.ee" TargetMode="External"/><Relationship Id="rId21" Type="http://schemas.openxmlformats.org/officeDocument/2006/relationships/hyperlink" Target="http://www.muuseum.tartu.ee/oskar-lutsu-majamuuseum/" TargetMode="External"/><Relationship Id="rId24" Type="http://schemas.openxmlformats.org/officeDocument/2006/relationships/hyperlink" Target="http://www.tartumus.ee" TargetMode="External"/><Relationship Id="rId23" Type="http://schemas.openxmlformats.org/officeDocument/2006/relationships/hyperlink" Target="http://www.kunstimaja.ee" TargetMode="External"/><Relationship Id="rId26" Type="http://schemas.openxmlformats.org/officeDocument/2006/relationships/hyperlink" Target="http://www.mm.ee" TargetMode="External"/><Relationship Id="rId25" Type="http://schemas.openxmlformats.org/officeDocument/2006/relationships/hyperlink" Target="http://www.muuseum.tartu.ee" TargetMode="External"/><Relationship Id="rId28" Type="http://schemas.openxmlformats.org/officeDocument/2006/relationships/hyperlink" Target="http://www.botaanikaaed.ut.ee" TargetMode="External"/><Relationship Id="rId27" Type="http://schemas.openxmlformats.org/officeDocument/2006/relationships/hyperlink" Target="http://www.natmuseum.ut.ee" TargetMode="External"/><Relationship Id="rId29" Type="http://schemas.openxmlformats.org/officeDocument/2006/relationships/hyperlink" Target="http://www.muuseum.ut.ee" TargetMode="External"/><Relationship Id="rId11" Type="http://schemas.openxmlformats.org/officeDocument/2006/relationships/hyperlink" Target="http://www.ahhaa.ee" TargetMode="External"/><Relationship Id="rId10" Type="http://schemas.openxmlformats.org/officeDocument/2006/relationships/hyperlink" Target="https://www.alecoq.ee/ollemuuseum/muuseum/" TargetMode="External"/><Relationship Id="rId13" Type="http://schemas.openxmlformats.org/officeDocument/2006/relationships/hyperlink" Target="http://www.zbi.ee/baer/" TargetMode="External"/><Relationship Id="rId12" Type="http://schemas.openxmlformats.org/officeDocument/2006/relationships/hyperlink" Target="http://www.tahetorn.ut.ee" TargetMode="External"/><Relationship Id="rId15" Type="http://schemas.openxmlformats.org/officeDocument/2006/relationships/hyperlink" Target="http://www.erm.ee" TargetMode="External"/><Relationship Id="rId14" Type="http://schemas.openxmlformats.org/officeDocument/2006/relationships/hyperlink" Target="http://www.kirmus.ee" TargetMode="External"/><Relationship Id="rId17" Type="http://schemas.openxmlformats.org/officeDocument/2006/relationships/hyperlink" Target="http://www.typa.ee" TargetMode="External"/><Relationship Id="rId16" Type="http://schemas.openxmlformats.org/officeDocument/2006/relationships/hyperlink" Target="http://www.spordimuuseum.ee" TargetMode="External"/><Relationship Id="rId19" Type="http://schemas.openxmlformats.org/officeDocument/2006/relationships/hyperlink" Target="http://www.muuseum.tartu.ee/kgb-kongide-muuseum/" TargetMode="External"/><Relationship Id="rId18" Type="http://schemas.openxmlformats.org/officeDocument/2006/relationships/hyperlink" Target="http://www.kvak.ee/muuseum/" TargetMode="External"/><Relationship Id="rId83" Type="http://schemas.openxmlformats.org/officeDocument/2006/relationships/drawing" Target="../drawings/drawing3.xml"/><Relationship Id="rId80" Type="http://schemas.openxmlformats.org/officeDocument/2006/relationships/hyperlink" Target="http://www.fatartukalev.ee" TargetMode="External"/><Relationship Id="rId82" Type="http://schemas.openxmlformats.org/officeDocument/2006/relationships/hyperlink" Target="http://www.lodi.ee" TargetMode="External"/><Relationship Id="rId81" Type="http://schemas.openxmlformats.org/officeDocument/2006/relationships/hyperlink" Target="http://www.tartutants.ee" TargetMode="External"/><Relationship Id="rId73" Type="http://schemas.openxmlformats.org/officeDocument/2006/relationships/hyperlink" Target="https://www.facebook.com/krokstartu" TargetMode="External"/><Relationship Id="rId72" Type="http://schemas.openxmlformats.org/officeDocument/2006/relationships/hyperlink" Target="https://www.facebook.com/kultuuriklubiSalong" TargetMode="External"/><Relationship Id="rId75" Type="http://schemas.openxmlformats.org/officeDocument/2006/relationships/hyperlink" Target="https://www.aparaaditehas.ee/majalised/armastuse-saal" TargetMode="External"/><Relationship Id="rId74" Type="http://schemas.openxmlformats.org/officeDocument/2006/relationships/hyperlink" Target="https://vspahotel.ee/konverentsikeskus/v-konverentsikeskus/" TargetMode="External"/><Relationship Id="rId77" Type="http://schemas.openxmlformats.org/officeDocument/2006/relationships/hyperlink" Target="http://www.kunstimuuseum.ut.ee" TargetMode="External"/><Relationship Id="rId76" Type="http://schemas.openxmlformats.org/officeDocument/2006/relationships/hyperlink" Target="http://www.arena.ee" TargetMode="External"/><Relationship Id="rId79" Type="http://schemas.openxmlformats.org/officeDocument/2006/relationships/hyperlink" Target="https://tartusport.ee/hooned/spordihooned/variku-spordihoone/" TargetMode="External"/><Relationship Id="rId78" Type="http://schemas.openxmlformats.org/officeDocument/2006/relationships/hyperlink" Target="http://www.sparkdemo.ee" TargetMode="External"/><Relationship Id="rId71" Type="http://schemas.openxmlformats.org/officeDocument/2006/relationships/hyperlink" Target="http://www.tartuloodusmaja.ee" TargetMode="External"/><Relationship Id="rId70" Type="http://schemas.openxmlformats.org/officeDocument/2006/relationships/hyperlink" Target="https://tntk.tartu.ee/lille-noortekeskus" TargetMode="External"/><Relationship Id="rId62" Type="http://schemas.openxmlformats.org/officeDocument/2006/relationships/hyperlink" Target="http://www.salem.ee" TargetMode="External"/><Relationship Id="rId61" Type="http://schemas.openxmlformats.org/officeDocument/2006/relationships/hyperlink" Target="http://www.tartu.metodistikirik.ee" TargetMode="External"/><Relationship Id="rId64" Type="http://schemas.openxmlformats.org/officeDocument/2006/relationships/hyperlink" Target="http://www.tartunaitused.ee" TargetMode="External"/><Relationship Id="rId63" Type="http://schemas.openxmlformats.org/officeDocument/2006/relationships/hyperlink" Target="http://www.ekl.ee/tartu" TargetMode="External"/><Relationship Id="rId66" Type="http://schemas.openxmlformats.org/officeDocument/2006/relationships/hyperlink" Target="http://www.sport.ut.ee" TargetMode="External"/><Relationship Id="rId65" Type="http://schemas.openxmlformats.org/officeDocument/2006/relationships/hyperlink" Target="https://tartusport.ee/hooned/spordihooned/a-le-coq-sport-spordimaja" TargetMode="External"/><Relationship Id="rId68" Type="http://schemas.openxmlformats.org/officeDocument/2006/relationships/hyperlink" Target="https://sport.ut.ee/locations/tartu-ulikooli-staadion/" TargetMode="External"/><Relationship Id="rId67" Type="http://schemas.openxmlformats.org/officeDocument/2006/relationships/hyperlink" Target="http://www.tartusport.ee/hooned/staadionid/tamme-staadioni-kompleks/" TargetMode="External"/><Relationship Id="rId60" Type="http://schemas.openxmlformats.org/officeDocument/2006/relationships/hyperlink" Target="http://www.eoc.ee/kogudus/tartu-puhade-aleksandrite-kogudus/" TargetMode="External"/><Relationship Id="rId69" Type="http://schemas.openxmlformats.org/officeDocument/2006/relationships/hyperlink" Target="https://tntk.tartu.ee/anne-noortekeskus" TargetMode="External"/><Relationship Id="rId51" Type="http://schemas.openxmlformats.org/officeDocument/2006/relationships/hyperlink" Target="http://www.tartuetk.ee" TargetMode="External"/><Relationship Id="rId50" Type="http://schemas.openxmlformats.org/officeDocument/2006/relationships/hyperlink" Target="http://www.vabankclub.ee" TargetMode="External"/><Relationship Id="rId53" Type="http://schemas.openxmlformats.org/officeDocument/2006/relationships/hyperlink" Target="http://www.jaanikirik.ee" TargetMode="External"/><Relationship Id="rId52" Type="http://schemas.openxmlformats.org/officeDocument/2006/relationships/hyperlink" Target="http://www.tartu.advent.ee" TargetMode="External"/><Relationship Id="rId55" Type="http://schemas.openxmlformats.org/officeDocument/2006/relationships/hyperlink" Target="http://www.neitsimaarja.ee" TargetMode="External"/><Relationship Id="rId54" Type="http://schemas.openxmlformats.org/officeDocument/2006/relationships/hyperlink" Target="http://www.eoc.ee/kogudus/tartu-jumalaema-uinumise-kogudus/" TargetMode="External"/><Relationship Id="rId57" Type="http://schemas.openxmlformats.org/officeDocument/2006/relationships/hyperlink" Target="http://www.tartumaarja.eelk.ee" TargetMode="External"/><Relationship Id="rId56" Type="http://schemas.openxmlformats.org/officeDocument/2006/relationships/hyperlink" Target="http://www.kolgata.ee" TargetMode="External"/><Relationship Id="rId59" Type="http://schemas.openxmlformats.org/officeDocument/2006/relationships/hyperlink" Target="http://www.tartupeetri.eelk.ee" TargetMode="External"/><Relationship Id="rId58" Type="http://schemas.openxmlformats.org/officeDocument/2006/relationships/hyperlink" Target="http://www.tartupauluse.e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marina.losak@peipsivald.ee" TargetMode="External"/><Relationship Id="rId2" Type="http://schemas.openxmlformats.org/officeDocument/2006/relationships/hyperlink" Target="https://www.facebook.com/koosarahvamaja/" TargetMode="External"/><Relationship Id="rId3" Type="http://schemas.openxmlformats.org/officeDocument/2006/relationships/hyperlink" Target="mailto:koosa.noorteklubi@gmail.com" TargetMode="External"/><Relationship Id="rId4" Type="http://schemas.openxmlformats.org/officeDocument/2006/relationships/hyperlink" Target="https://www.facebook.com/Pala-Kultuurimaja-257244520972927/" TargetMode="External"/><Relationship Id="rId9" Type="http://schemas.openxmlformats.org/officeDocument/2006/relationships/hyperlink" Target="mailto:vara.kultuur@gmail.com" TargetMode="External"/><Relationship Id="rId5" Type="http://schemas.openxmlformats.org/officeDocument/2006/relationships/hyperlink" Target="mailto:margit.soieva@pala.ee" TargetMode="External"/><Relationship Id="rId6" Type="http://schemas.openxmlformats.org/officeDocument/2006/relationships/hyperlink" Target="https://www.facebook.com/rannarahvamaja/" TargetMode="External"/><Relationship Id="rId7" Type="http://schemas.openxmlformats.org/officeDocument/2006/relationships/hyperlink" Target="mailto:ljubov.raimla@pala.ee" TargetMode="External"/><Relationship Id="rId8" Type="http://schemas.openxmlformats.org/officeDocument/2006/relationships/hyperlink" Target="http://varasport.eu/kultuur/" TargetMode="External"/><Relationship Id="rId40" Type="http://schemas.openxmlformats.org/officeDocument/2006/relationships/hyperlink" Target="mailto:hinnovospert2@gmail.com" TargetMode="External"/><Relationship Id="rId42" Type="http://schemas.openxmlformats.org/officeDocument/2006/relationships/hyperlink" Target="mailto:kokora.kylaselts@mail.ee" TargetMode="External"/><Relationship Id="rId41" Type="http://schemas.openxmlformats.org/officeDocument/2006/relationships/hyperlink" Target="https://www.facebook.com/Kokora-K%C3%BClakeskus-137887716289130/" TargetMode="External"/><Relationship Id="rId44" Type="http://schemas.openxmlformats.org/officeDocument/2006/relationships/hyperlink" Target="mailto:alatskivi@eelk.ee" TargetMode="External"/><Relationship Id="rId43" Type="http://schemas.openxmlformats.org/officeDocument/2006/relationships/hyperlink" Target="mailto:olgasol@hot.ee" TargetMode="External"/><Relationship Id="rId46" Type="http://schemas.openxmlformats.org/officeDocument/2006/relationships/hyperlink" Target="mailto:velabrum@yandex.ru" TargetMode="External"/><Relationship Id="rId45" Type="http://schemas.openxmlformats.org/officeDocument/2006/relationships/hyperlink" Target="http://www.hramy.ee/Nina_Church-of-the-Protection-of-the-Mother-of-God_est.html" TargetMode="External"/><Relationship Id="rId48" Type="http://schemas.openxmlformats.org/officeDocument/2006/relationships/hyperlink" Target="mailto:pavel@starover.ee" TargetMode="External"/><Relationship Id="rId47" Type="http://schemas.openxmlformats.org/officeDocument/2006/relationships/hyperlink" Target="mailto:kodavere@eelk.ee" TargetMode="External"/><Relationship Id="rId49" Type="http://schemas.openxmlformats.org/officeDocument/2006/relationships/hyperlink" Target="mailto:pavel@starover.ee" TargetMode="External"/><Relationship Id="rId31" Type="http://schemas.openxmlformats.org/officeDocument/2006/relationships/hyperlink" Target="https://koosaraamatukogu.ee/valgi-raamatukogu/" TargetMode="External"/><Relationship Id="rId30" Type="http://schemas.openxmlformats.org/officeDocument/2006/relationships/hyperlink" Target="mailto:varnja.raamatukogu@peipsivald.ee" TargetMode="External"/><Relationship Id="rId33" Type="http://schemas.openxmlformats.org/officeDocument/2006/relationships/hyperlink" Target="https://koosaraamatukogu.ee/nina-valisteeninduspunkt/" TargetMode="External"/><Relationship Id="rId32" Type="http://schemas.openxmlformats.org/officeDocument/2006/relationships/hyperlink" Target="mailto:valgi.raamatukogu@peipsivald.ee" TargetMode="External"/><Relationship Id="rId35" Type="http://schemas.openxmlformats.org/officeDocument/2006/relationships/hyperlink" Target="https://koosaraamatukogu.ee/kokora-valisteeninduspunkt/" TargetMode="External"/><Relationship Id="rId34" Type="http://schemas.openxmlformats.org/officeDocument/2006/relationships/hyperlink" Target="mailto:nina.laenutuspunkt@peipsivald.ee" TargetMode="External"/><Relationship Id="rId37" Type="http://schemas.openxmlformats.org/officeDocument/2006/relationships/hyperlink" Target="https://www.facebook.com/AlatskiviMNS/" TargetMode="External"/><Relationship Id="rId36" Type="http://schemas.openxmlformats.org/officeDocument/2006/relationships/hyperlink" Target="mailto:%20kokora.laenutuspunkt@peipsivald.ee" TargetMode="External"/><Relationship Id="rId39" Type="http://schemas.openxmlformats.org/officeDocument/2006/relationships/hyperlink" Target="https://www.ahs.planet.ee/" TargetMode="External"/><Relationship Id="rId38" Type="http://schemas.openxmlformats.org/officeDocument/2006/relationships/hyperlink" Target="mailto:alatskivinaisselts@gmail.com" TargetMode="External"/><Relationship Id="rId20" Type="http://schemas.openxmlformats.org/officeDocument/2006/relationships/hyperlink" Target="mailto:alatskivirmtk@hot.ee" TargetMode="External"/><Relationship Id="rId22" Type="http://schemas.openxmlformats.org/officeDocument/2006/relationships/hyperlink" Target="mailto:kolkja.raamatukogu@peipsivald.ee" TargetMode="External"/><Relationship Id="rId21" Type="http://schemas.openxmlformats.org/officeDocument/2006/relationships/hyperlink" Target="https://koosaraamatukogu.ee/kolkja-raamatukogu/" TargetMode="External"/><Relationship Id="rId24" Type="http://schemas.openxmlformats.org/officeDocument/2006/relationships/hyperlink" Target="mailto:lumati.raamatukogu@peipsivald.ee" TargetMode="External"/><Relationship Id="rId23" Type="http://schemas.openxmlformats.org/officeDocument/2006/relationships/hyperlink" Target="https://koosaraamatukogu.ee/lumati-raamatukogu/" TargetMode="External"/><Relationship Id="rId26" Type="http://schemas.openxmlformats.org/officeDocument/2006/relationships/hyperlink" Target="mailto:pala.raamatukogu@peipsivald.ee" TargetMode="External"/><Relationship Id="rId25" Type="http://schemas.openxmlformats.org/officeDocument/2006/relationships/hyperlink" Target="https://koosaraamatukogu.ee/pala-raamatukogu/" TargetMode="External"/><Relationship Id="rId28" Type="http://schemas.openxmlformats.org/officeDocument/2006/relationships/hyperlink" Target="mailto:vara.raamatukogu@peipsivald.ee" TargetMode="External"/><Relationship Id="rId27" Type="http://schemas.openxmlformats.org/officeDocument/2006/relationships/hyperlink" Target="https://koosaraamatukogu.ee/vara-raamatukogu/" TargetMode="External"/><Relationship Id="rId29" Type="http://schemas.openxmlformats.org/officeDocument/2006/relationships/hyperlink" Target="https://koosaraamatukogu.ee/varnja-raamatukogu/" TargetMode="External"/><Relationship Id="rId11" Type="http://schemas.openxmlformats.org/officeDocument/2006/relationships/hyperlink" Target="mailto:kallastekool@gmail.com" TargetMode="External"/><Relationship Id="rId10" Type="http://schemas.openxmlformats.org/officeDocument/2006/relationships/hyperlink" Target="https://muusa.ee/" TargetMode="External"/><Relationship Id="rId13" Type="http://schemas.openxmlformats.org/officeDocument/2006/relationships/hyperlink" Target="mailto:lillitarakanov@gmail.com" TargetMode="External"/><Relationship Id="rId12" Type="http://schemas.openxmlformats.org/officeDocument/2006/relationships/hyperlink" Target="https://vanausulised.weebly.com/" TargetMode="External"/><Relationship Id="rId15" Type="http://schemas.openxmlformats.org/officeDocument/2006/relationships/hyperlink" Target="https://www.alatskiviloss.ee/tubinamuuseum" TargetMode="External"/><Relationship Id="rId14" Type="http://schemas.openxmlformats.org/officeDocument/2006/relationships/hyperlink" Target="mailto:arina666@yandex.ru" TargetMode="External"/><Relationship Id="rId17" Type="http://schemas.openxmlformats.org/officeDocument/2006/relationships/hyperlink" Target="https://koosaraamatukogu.ee/harukogud/alatskivi-raamatukogu/" TargetMode="External"/><Relationship Id="rId16" Type="http://schemas.openxmlformats.org/officeDocument/2006/relationships/hyperlink" Target="https://koosaraamatukogu.ee/" TargetMode="External"/><Relationship Id="rId19" Type="http://schemas.openxmlformats.org/officeDocument/2006/relationships/hyperlink" Target="https://koosaraamatukogu.ee/kallaste-raamatukogu/" TargetMode="External"/><Relationship Id="rId18" Type="http://schemas.openxmlformats.org/officeDocument/2006/relationships/hyperlink" Target="mailto:alatskivi.raamatukogu@peipsivald.ee" TargetMode="External"/><Relationship Id="rId62" Type="http://schemas.openxmlformats.org/officeDocument/2006/relationships/hyperlink" Target="mailto:mty.varalaegas@gmail.com" TargetMode="External"/><Relationship Id="rId61" Type="http://schemas.openxmlformats.org/officeDocument/2006/relationships/hyperlink" Target="https://www.facebook.com/koosanoortekeskus/" TargetMode="External"/><Relationship Id="rId64" Type="http://schemas.openxmlformats.org/officeDocument/2006/relationships/hyperlink" Target="mailto:marina.peipsiaare@gmail.com" TargetMode="External"/><Relationship Id="rId63" Type="http://schemas.openxmlformats.org/officeDocument/2006/relationships/hyperlink" Target="https://www.facebook.com/peipsiaare.noortekeskus.5" TargetMode="External"/><Relationship Id="rId65" Type="http://schemas.openxmlformats.org/officeDocument/2006/relationships/drawing" Target="../drawings/drawing4.xml"/><Relationship Id="rId60" Type="http://schemas.openxmlformats.org/officeDocument/2006/relationships/hyperlink" Target="mailto:vara.noortekeskus@gmail.com" TargetMode="External"/><Relationship Id="rId51" Type="http://schemas.openxmlformats.org/officeDocument/2006/relationships/hyperlink" Target="mailto:vara@eelk.ee" TargetMode="External"/><Relationship Id="rId50" Type="http://schemas.openxmlformats.org/officeDocument/2006/relationships/hyperlink" Target="mailto:pavel@starover.ee" TargetMode="External"/><Relationship Id="rId53" Type="http://schemas.openxmlformats.org/officeDocument/2006/relationships/hyperlink" Target="https://alatskivinoored.webs.com/" TargetMode="External"/><Relationship Id="rId52" Type="http://schemas.openxmlformats.org/officeDocument/2006/relationships/hyperlink" Target="mailto:toomas@eoc.ee" TargetMode="External"/><Relationship Id="rId55" Type="http://schemas.openxmlformats.org/officeDocument/2006/relationships/hyperlink" Target="https://www.facebook.com/KallasteNoortekeskus" TargetMode="External"/><Relationship Id="rId54" Type="http://schemas.openxmlformats.org/officeDocument/2006/relationships/hyperlink" Target="mailto:alatskivinoortekeskus@gmail.com" TargetMode="External"/><Relationship Id="rId57" Type="http://schemas.openxmlformats.org/officeDocument/2006/relationships/hyperlink" Target="http://www.pvn.ee/" TargetMode="External"/><Relationship Id="rId56" Type="http://schemas.openxmlformats.org/officeDocument/2006/relationships/hyperlink" Target="mailto:drozdovakristina01@gmail.com" TargetMode="External"/><Relationship Id="rId59" Type="http://schemas.openxmlformats.org/officeDocument/2006/relationships/hyperlink" Target="http://varasport.eu/vara-noortekeskus/" TargetMode="External"/><Relationship Id="rId58" Type="http://schemas.openxmlformats.org/officeDocument/2006/relationships/hyperlink" Target="mailto:alatskivinoortekeskus@g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uunjakultuur.ee/" TargetMode="External"/><Relationship Id="rId2" Type="http://schemas.openxmlformats.org/officeDocument/2006/relationships/hyperlink" Target="https://luunjakultuur.ee/luunja-noortekeskus-2/" TargetMode="External"/><Relationship Id="rId3" Type="http://schemas.openxmlformats.org/officeDocument/2006/relationships/hyperlink" Target="mailto:lohkva.raamatukogu@luunja.ee" TargetMode="External"/><Relationship Id="rId4" Type="http://schemas.openxmlformats.org/officeDocument/2006/relationships/hyperlink" Target="mailto:luunja.raamatukogu@luunja.ee" TargetMode="External"/><Relationship Id="rId5" Type="http://schemas.openxmlformats.org/officeDocument/2006/relationships/hyperlink" Target="mailto:kavastu.raamatukogu@luunja.ee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kirsika.muhlberg@kastre.ee" TargetMode="External"/><Relationship Id="rId2" Type="http://schemas.openxmlformats.org/officeDocument/2006/relationships/hyperlink" Target="mailto:roiu.noortekeskus@kastre.ee" TargetMode="External"/><Relationship Id="rId3" Type="http://schemas.openxmlformats.org/officeDocument/2006/relationships/hyperlink" Target="mailto:vonnu.noortekeskus@kastre.ee" TargetMode="External"/><Relationship Id="rId4" Type="http://schemas.openxmlformats.org/officeDocument/2006/relationships/hyperlink" Target="mailto:riina.vals@kastre.ee" TargetMode="External"/><Relationship Id="rId5" Type="http://schemas.openxmlformats.org/officeDocument/2006/relationships/hyperlink" Target="mailto:sport@melliste.ee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ymk.ee" TargetMode="External"/><Relationship Id="rId2" Type="http://schemas.openxmlformats.org/officeDocument/2006/relationships/hyperlink" Target="mailto:ylle.andreson@ymk.ee" TargetMode="External"/><Relationship Id="rId3" Type="http://schemas.openxmlformats.org/officeDocument/2006/relationships/hyperlink" Target="https://www.yle.edu.ee/sport/" TargetMode="External"/><Relationship Id="rId4" Type="http://schemas.openxmlformats.org/officeDocument/2006/relationships/hyperlink" Target="https://www.yle.edu.ee/sport/" TargetMode="External"/><Relationship Id="rId9" Type="http://schemas.openxmlformats.org/officeDocument/2006/relationships/hyperlink" Target="http://onnemaa.ee/torvandi-pere-ja-noortekeskus/" TargetMode="External"/><Relationship Id="rId5" Type="http://schemas.openxmlformats.org/officeDocument/2006/relationships/hyperlink" Target="http://onnemaa.ee/kambja-pere-ja-noortekeskus/" TargetMode="External"/><Relationship Id="rId6" Type="http://schemas.openxmlformats.org/officeDocument/2006/relationships/hyperlink" Target="mailto:kelli@onnemaa.ee" TargetMode="External"/><Relationship Id="rId7" Type="http://schemas.openxmlformats.org/officeDocument/2006/relationships/hyperlink" Target="https://onnemaa.ee/ulenurme-pere-ja-noortekeskus/" TargetMode="External"/><Relationship Id="rId8" Type="http://schemas.openxmlformats.org/officeDocument/2006/relationships/hyperlink" Target="mailto:kersti@onnemaa.ee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kambja.eelk.ee/web/" TargetMode="External"/><Relationship Id="rId20" Type="http://schemas.openxmlformats.org/officeDocument/2006/relationships/hyperlink" Target="https://xn--trvandiraamatukogu-t2b.weebly.com/haruraamatukogud.html" TargetMode="External"/><Relationship Id="rId22" Type="http://schemas.openxmlformats.org/officeDocument/2006/relationships/hyperlink" Target="https://xn--trvandiraamatukogu-t2b.weebly.com/haruraamatukogud.html" TargetMode="External"/><Relationship Id="rId21" Type="http://schemas.openxmlformats.org/officeDocument/2006/relationships/hyperlink" Target="mailto:raamatukogu@kuuste.edu.ee" TargetMode="External"/><Relationship Id="rId24" Type="http://schemas.openxmlformats.org/officeDocument/2006/relationships/hyperlink" Target="https://www.kambja.ee/spordirajatised1/-/asset_publisher/nul5rLHLtFRB/content/kambja-spordihoone?redirect=https%3A%2F%2Fwww.kambja.ee%2Fspordirajatised1%3Fp_p_id%3D101_INSTANCE_nul5rLHLtFRB%26p_p_lifecycle%3D0%26p_p_state%3Dnormal%26p_p_mode%3Dview%26p_p_col_id%3Dcolumn-1%26p_p_col_count%3D2" TargetMode="External"/><Relationship Id="rId23" Type="http://schemas.openxmlformats.org/officeDocument/2006/relationships/hyperlink" Target="https://ylenurmeraamatukogu.blogspot.com/" TargetMode="External"/><Relationship Id="rId26" Type="http://schemas.openxmlformats.org/officeDocument/2006/relationships/hyperlink" Target="https://www.kambja.ee/spordirajatised1/-/asset_publisher/nul5rLHLtFRB/content/kammeri-kooli-spordihoone-ja-staadion?redirect=https%3A%2F%2Fwww.kambja.ee%2Fspordirajatised1%3Fp_p_id%3D101_INSTANCE_nul5rLHLtFRB%26p_p_lifecycle%3D0%26p_p_state%3Dnormal%26p_p_mode%3Dview%26p_p_col_id%3Dcolumn-1%26p_p_col_count%3D2" TargetMode="External"/><Relationship Id="rId25" Type="http://schemas.openxmlformats.org/officeDocument/2006/relationships/hyperlink" Target="https://www.kambja.ee/spordirajatised1?p_p_auth=Wc8qCRqh&amp;p_p_id=101&amp;p_p_lifecycle=0&amp;p_p_state=maximized&amp;p_p_col_id=column-1&amp;p_p_col_count=2&amp;_101_struts_action=%2Fasset_publisher%2Fview_content&amp;_101_assetEntryId=15344477&amp;_101_type=content&amp;_101_urlTitle=kambja-staadion&amp;redirect=%2Fspordirajatised1%2F-%2Fasset_publisher%2Fnul5rLHLtFRB%2Fcontent%2Fkambja-spordihoone%3Fredirect%3Dhttps%253A%252F%252Fwww.kambja.ee%252Fspordirajatised1%253Fp_p_id%253D101_INSTANCE_nul5rLHLtFRB%2526p_p_lifecycle%253D0%2526p_p_state%253Dnormal%2526p_p_mode%253Dview%2526p_p_col_id%253Dcolumn-1%2526p_p_col_count%253D2" TargetMode="External"/><Relationship Id="rId28" Type="http://schemas.openxmlformats.org/officeDocument/2006/relationships/hyperlink" Target="https://www.kambja.ee/spordirajatised1/-/asset_publisher/nul5rLHLtFRB/content/torvandi-spordihoone-ja-staadion?redirect=https%3A%2F%2Fwww.kambja.ee%2Fspordirajatised1%3Fp_p_id%3D101_INSTANCE_nul5rLHLtFRB%26p_p_lifecycle%3D0%26p_p_state%3Dnormal%26p_p_mode%3Dview%26p_p_col_id%3Dcolumn-1%26p_p_col_count%3D2" TargetMode="External"/><Relationship Id="rId27" Type="http://schemas.openxmlformats.org/officeDocument/2006/relationships/hyperlink" Target="https://www.kambja.ee/spordirajatised1/-/asset_publisher/nul5rLHLtFRB/content/kammeri-kooli-spordihoone-ja-staadion?redirect=https%3A%2F%2Fwww.kambja.ee%2Fspordirajatised1%3Fp_p_id%3D101_INSTANCE_nul5rLHLtFRB%26p_p_lifecycle%3D0%26p_p_state%3Dnormal%26p_p_mode%3Dview%26p_p_col_id%3Dcolumn-1%26p_p_col_count%3D2" TargetMode="External"/><Relationship Id="rId29" Type="http://schemas.openxmlformats.org/officeDocument/2006/relationships/hyperlink" Target="https://www.kambja.ee/spordirajatised1/-/asset_publisher/nul5rLHLtFRB/content/torvandi-spordihoone-ja-staadion?redirect=https%3A%2F%2Fwww.kambja.ee%2Fspordirajatised1%3Fp_p_id%3D101_INSTANCE_nul5rLHLtFRB%26p_p_lifecycle%3D0%26p_p_state%3Dnormal%26p_p_mode%3Dview%26p_p_col_id%3Dcolumn-1%26p_p_col_count%3D2" TargetMode="External"/><Relationship Id="rId11" Type="http://schemas.openxmlformats.org/officeDocument/2006/relationships/hyperlink" Target="https://www.kambja.ee/rahva-ja-seltsimajad" TargetMode="External"/><Relationship Id="rId10" Type="http://schemas.openxmlformats.org/officeDocument/2006/relationships/hyperlink" Target="mailto:jaanika@onnemaa.ee" TargetMode="External"/><Relationship Id="rId13" Type="http://schemas.openxmlformats.org/officeDocument/2006/relationships/hyperlink" Target="https://www.kambja.ee/rahva-ja-seltsimajad" TargetMode="External"/><Relationship Id="rId12" Type="http://schemas.openxmlformats.org/officeDocument/2006/relationships/hyperlink" Target="mailto:saidi.tammeorg@gmail.com" TargetMode="External"/><Relationship Id="rId15" Type="http://schemas.openxmlformats.org/officeDocument/2006/relationships/hyperlink" Target="https://www.kambja.ee/rahva-ja-seltsimajad" TargetMode="External"/><Relationship Id="rId14" Type="http://schemas.openxmlformats.org/officeDocument/2006/relationships/hyperlink" Target="mailto:edda@kuuste.edu.ee" TargetMode="External"/><Relationship Id="rId17" Type="http://schemas.openxmlformats.org/officeDocument/2006/relationships/hyperlink" Target="https://xn--trvandiraamatukogu-t2b.weebly.com/" TargetMode="External"/><Relationship Id="rId16" Type="http://schemas.openxmlformats.org/officeDocument/2006/relationships/hyperlink" Target="mailto:kultuur@ylenurme.ee" TargetMode="External"/><Relationship Id="rId19" Type="http://schemas.openxmlformats.org/officeDocument/2006/relationships/hyperlink" Target="https://xn--trvandiraamatukogu-t2b.weebly.com/haruraamatukogud.html" TargetMode="External"/><Relationship Id="rId18" Type="http://schemas.openxmlformats.org/officeDocument/2006/relationships/hyperlink" Target="mailto:raamatukogu@torvandi.ee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mm.ee/" TargetMode="External"/><Relationship Id="rId2" Type="http://schemas.openxmlformats.org/officeDocument/2006/relationships/hyperlink" Target="https://www.vanemuine.ee/teatrimajad/sadamateater/" TargetMode="External"/><Relationship Id="rId3" Type="http://schemas.openxmlformats.org/officeDocument/2006/relationships/hyperlink" Target="http://www.uusteater.ee/" TargetMode="External"/><Relationship Id="rId4" Type="http://schemas.openxmlformats.org/officeDocument/2006/relationships/hyperlink" Target="http://www.vanemuine.ee/teatrimajad/vanemuise-suur-maja/" TargetMode="External"/><Relationship Id="rId9" Type="http://schemas.openxmlformats.org/officeDocument/2006/relationships/hyperlink" Target="http://www.muuseum.tartu.ee/19-sajandi-linnakodaniku-muuseum/" TargetMode="External"/><Relationship Id="rId5" Type="http://schemas.openxmlformats.org/officeDocument/2006/relationships/hyperlink" Target="http://www.karlovateater.ee/" TargetMode="External"/><Relationship Id="rId6" Type="http://schemas.openxmlformats.org/officeDocument/2006/relationships/hyperlink" Target="https://www.vanemuine.ee/teatrimajad/vanemuise-vaike-maja/" TargetMode="External"/><Relationship Id="rId7" Type="http://schemas.openxmlformats.org/officeDocument/2006/relationships/hyperlink" Target="http://www.tmk.ee/" TargetMode="External"/><Relationship Id="rId8" Type="http://schemas.openxmlformats.org/officeDocument/2006/relationships/hyperlink" Target="http://www.tmk2.tartu.ee/" TargetMode="External"/><Relationship Id="rId40" Type="http://schemas.openxmlformats.org/officeDocument/2006/relationships/hyperlink" Target="http://www.pallasart.ee/galerii-pallas/" TargetMode="External"/><Relationship Id="rId42" Type="http://schemas.openxmlformats.org/officeDocument/2006/relationships/hyperlink" Target="http://www.kogogallery.ee/" TargetMode="External"/><Relationship Id="rId41" Type="http://schemas.openxmlformats.org/officeDocument/2006/relationships/hyperlink" Target="https://www.facebook.com/Gildi-galerii-573217399401495/" TargetMode="External"/><Relationship Id="rId44" Type="http://schemas.openxmlformats.org/officeDocument/2006/relationships/hyperlink" Target="http://www.tym.ee/" TargetMode="External"/><Relationship Id="rId43" Type="http://schemas.openxmlformats.org/officeDocument/2006/relationships/hyperlink" Target="http://www.tiigiseltsimaja.tartu.ee/" TargetMode="External"/><Relationship Id="rId46" Type="http://schemas.openxmlformats.org/officeDocument/2006/relationships/hyperlink" Target="http://www.klubi.tartujazz.ee/" TargetMode="External"/><Relationship Id="rId45" Type="http://schemas.openxmlformats.org/officeDocument/2006/relationships/hyperlink" Target="http://www.genklubi.ee/" TargetMode="External"/><Relationship Id="rId48" Type="http://schemas.openxmlformats.org/officeDocument/2006/relationships/hyperlink" Target="http://www.rocknroll.ee/" TargetMode="External"/><Relationship Id="rId47" Type="http://schemas.openxmlformats.org/officeDocument/2006/relationships/hyperlink" Target="http://www.illusion.ee/" TargetMode="External"/><Relationship Id="rId49" Type="http://schemas.openxmlformats.org/officeDocument/2006/relationships/hyperlink" Target="http://www.maasikas.com/" TargetMode="External"/><Relationship Id="rId31" Type="http://schemas.openxmlformats.org/officeDocument/2006/relationships/hyperlink" Target="http://www.apollokino.ee/" TargetMode="External"/><Relationship Id="rId30" Type="http://schemas.openxmlformats.org/officeDocument/2006/relationships/hyperlink" Target="http://www.elektriteater.ee/" TargetMode="External"/><Relationship Id="rId33" Type="http://schemas.openxmlformats.org/officeDocument/2006/relationships/hyperlink" Target="https://www.luterlik.edu.ee/athena-keskus/" TargetMode="External"/><Relationship Id="rId32" Type="http://schemas.openxmlformats.org/officeDocument/2006/relationships/hyperlink" Target="http://www.apollokino.ee/" TargetMode="External"/><Relationship Id="rId35" Type="http://schemas.openxmlformats.org/officeDocument/2006/relationships/hyperlink" Target="http://www.utlib.ut.ee/" TargetMode="External"/><Relationship Id="rId34" Type="http://schemas.openxmlformats.org/officeDocument/2006/relationships/hyperlink" Target="http://www.luts.ee/" TargetMode="External"/><Relationship Id="rId37" Type="http://schemas.openxmlformats.org/officeDocument/2006/relationships/hyperlink" Target="http://www.loovtartu.ee/lmk/kylastajale/antonius" TargetMode="External"/><Relationship Id="rId36" Type="http://schemas.openxmlformats.org/officeDocument/2006/relationships/hyperlink" Target="http://www.loovtartu.ee/" TargetMode="External"/><Relationship Id="rId39" Type="http://schemas.openxmlformats.org/officeDocument/2006/relationships/hyperlink" Target="http://www.kammivabrik.ee/" TargetMode="External"/><Relationship Id="rId38" Type="http://schemas.openxmlformats.org/officeDocument/2006/relationships/hyperlink" Target="http://www.kammivabrik.ee/" TargetMode="External"/><Relationship Id="rId20" Type="http://schemas.openxmlformats.org/officeDocument/2006/relationships/hyperlink" Target="http://wwww.muuseum.tartu.ee/rent/laulupeomuuseumi-park-paviljoniga/" TargetMode="External"/><Relationship Id="rId22" Type="http://schemas.openxmlformats.org/officeDocument/2006/relationships/hyperlink" Target="http://www.muuseum.taniloo.ee/" TargetMode="External"/><Relationship Id="rId21" Type="http://schemas.openxmlformats.org/officeDocument/2006/relationships/hyperlink" Target="http://www.muuseum.tartu.ee/oskar-lutsu-majamuuseum/" TargetMode="External"/><Relationship Id="rId24" Type="http://schemas.openxmlformats.org/officeDocument/2006/relationships/hyperlink" Target="http://www.tartumus.ee/" TargetMode="External"/><Relationship Id="rId23" Type="http://schemas.openxmlformats.org/officeDocument/2006/relationships/hyperlink" Target="http://www.kunstimaja.ee/" TargetMode="External"/><Relationship Id="rId26" Type="http://schemas.openxmlformats.org/officeDocument/2006/relationships/hyperlink" Target="http://www.mm.ee/" TargetMode="External"/><Relationship Id="rId25" Type="http://schemas.openxmlformats.org/officeDocument/2006/relationships/hyperlink" Target="http://www.muuseum.tartu.ee/" TargetMode="External"/><Relationship Id="rId28" Type="http://schemas.openxmlformats.org/officeDocument/2006/relationships/hyperlink" Target="http://www.botaanikaaed.ut.ee/" TargetMode="External"/><Relationship Id="rId27" Type="http://schemas.openxmlformats.org/officeDocument/2006/relationships/hyperlink" Target="http://www.natmuseum.ut.ee/" TargetMode="External"/><Relationship Id="rId29" Type="http://schemas.openxmlformats.org/officeDocument/2006/relationships/hyperlink" Target="http://www.muuseum.ut.ee/" TargetMode="External"/><Relationship Id="rId11" Type="http://schemas.openxmlformats.org/officeDocument/2006/relationships/hyperlink" Target="http://www.ahhaa.ee/" TargetMode="External"/><Relationship Id="rId10" Type="http://schemas.openxmlformats.org/officeDocument/2006/relationships/hyperlink" Target="https://www.alecoq.ee/ollemuuseum/muuseum/" TargetMode="External"/><Relationship Id="rId13" Type="http://schemas.openxmlformats.org/officeDocument/2006/relationships/hyperlink" Target="http://www.zbi.ee/baer/" TargetMode="External"/><Relationship Id="rId12" Type="http://schemas.openxmlformats.org/officeDocument/2006/relationships/hyperlink" Target="http://www.tahetorn.ut.ee" TargetMode="External"/><Relationship Id="rId15" Type="http://schemas.openxmlformats.org/officeDocument/2006/relationships/hyperlink" Target="http://www.erm.ee/" TargetMode="External"/><Relationship Id="rId14" Type="http://schemas.openxmlformats.org/officeDocument/2006/relationships/hyperlink" Target="http://www.kirmus.ee/" TargetMode="External"/><Relationship Id="rId17" Type="http://schemas.openxmlformats.org/officeDocument/2006/relationships/hyperlink" Target="http://www.typa.ee/" TargetMode="External"/><Relationship Id="rId16" Type="http://schemas.openxmlformats.org/officeDocument/2006/relationships/hyperlink" Target="http://www.spordimuuseum.ee/" TargetMode="External"/><Relationship Id="rId19" Type="http://schemas.openxmlformats.org/officeDocument/2006/relationships/hyperlink" Target="http://www.muuseum.tartu.ee/kgb-kongide-muuseum/" TargetMode="External"/><Relationship Id="rId18" Type="http://schemas.openxmlformats.org/officeDocument/2006/relationships/hyperlink" Target="http://www.kvak.ee/muuseum/" TargetMode="External"/><Relationship Id="rId83" Type="http://schemas.openxmlformats.org/officeDocument/2006/relationships/drawing" Target="../drawings/drawing8.xml"/><Relationship Id="rId80" Type="http://schemas.openxmlformats.org/officeDocument/2006/relationships/hyperlink" Target="http://www.fatartukalev.ee/" TargetMode="External"/><Relationship Id="rId82" Type="http://schemas.openxmlformats.org/officeDocument/2006/relationships/hyperlink" Target="http://www.lodi.ee/" TargetMode="External"/><Relationship Id="rId81" Type="http://schemas.openxmlformats.org/officeDocument/2006/relationships/hyperlink" Target="http://www.tartutants.ee/" TargetMode="External"/><Relationship Id="rId73" Type="http://schemas.openxmlformats.org/officeDocument/2006/relationships/hyperlink" Target="https://www.facebook.com/krokstartu" TargetMode="External"/><Relationship Id="rId72" Type="http://schemas.openxmlformats.org/officeDocument/2006/relationships/hyperlink" Target="https://www.facebook.com/kultuuriklubiSalong" TargetMode="External"/><Relationship Id="rId75" Type="http://schemas.openxmlformats.org/officeDocument/2006/relationships/hyperlink" Target="https://www.aparaaditehas.ee/majalised/armastuse-saal" TargetMode="External"/><Relationship Id="rId74" Type="http://schemas.openxmlformats.org/officeDocument/2006/relationships/hyperlink" Target="https://vspahotel.ee/konverentsikeskus/v-konverentsikeskus/" TargetMode="External"/><Relationship Id="rId77" Type="http://schemas.openxmlformats.org/officeDocument/2006/relationships/hyperlink" Target="http://www.kunstimuuseum.ut.ee/" TargetMode="External"/><Relationship Id="rId76" Type="http://schemas.openxmlformats.org/officeDocument/2006/relationships/hyperlink" Target="http://www.arena.ee/" TargetMode="External"/><Relationship Id="rId79" Type="http://schemas.openxmlformats.org/officeDocument/2006/relationships/hyperlink" Target="https://tartusport.ee/hooned/spordihooned/variku-spordihoone/" TargetMode="External"/><Relationship Id="rId78" Type="http://schemas.openxmlformats.org/officeDocument/2006/relationships/hyperlink" Target="http://www.sparkdemo.ee/" TargetMode="External"/><Relationship Id="rId71" Type="http://schemas.openxmlformats.org/officeDocument/2006/relationships/hyperlink" Target="http://www.tartuloodusmaja.ee/" TargetMode="External"/><Relationship Id="rId70" Type="http://schemas.openxmlformats.org/officeDocument/2006/relationships/hyperlink" Target="https://tntk.tartu.ee/lille-noortekeskus" TargetMode="External"/><Relationship Id="rId62" Type="http://schemas.openxmlformats.org/officeDocument/2006/relationships/hyperlink" Target="http://www.salem.ee/" TargetMode="External"/><Relationship Id="rId61" Type="http://schemas.openxmlformats.org/officeDocument/2006/relationships/hyperlink" Target="http://www.tartu.metodistikirik.ee/" TargetMode="External"/><Relationship Id="rId64" Type="http://schemas.openxmlformats.org/officeDocument/2006/relationships/hyperlink" Target="http://www.tartunaitused.ee/" TargetMode="External"/><Relationship Id="rId63" Type="http://schemas.openxmlformats.org/officeDocument/2006/relationships/hyperlink" Target="http://www.ekl.ee/tartu" TargetMode="External"/><Relationship Id="rId66" Type="http://schemas.openxmlformats.org/officeDocument/2006/relationships/hyperlink" Target="http://www.sport.ut.ee/" TargetMode="External"/><Relationship Id="rId65" Type="http://schemas.openxmlformats.org/officeDocument/2006/relationships/hyperlink" Target="https://tartusport.ee/hooned/spordihooned/a-le-coq-sport-spordimaja" TargetMode="External"/><Relationship Id="rId68" Type="http://schemas.openxmlformats.org/officeDocument/2006/relationships/hyperlink" Target="https://sport.ut.ee/locations/tartu-ulikooli-staadion/" TargetMode="External"/><Relationship Id="rId67" Type="http://schemas.openxmlformats.org/officeDocument/2006/relationships/hyperlink" Target="http://www.tartusport.ee/hooned/staadionid/tamme-staadioni-kompleks/" TargetMode="External"/><Relationship Id="rId60" Type="http://schemas.openxmlformats.org/officeDocument/2006/relationships/hyperlink" Target="http://www.eoc.ee/kogudus/tartu-puhade-aleksandrite-kogudus/" TargetMode="External"/><Relationship Id="rId69" Type="http://schemas.openxmlformats.org/officeDocument/2006/relationships/hyperlink" Target="https://tntk.tartu.ee/anne-noortekeskus" TargetMode="External"/><Relationship Id="rId51" Type="http://schemas.openxmlformats.org/officeDocument/2006/relationships/hyperlink" Target="http://www.tartuetk.ee/" TargetMode="External"/><Relationship Id="rId50" Type="http://schemas.openxmlformats.org/officeDocument/2006/relationships/hyperlink" Target="http://www.vabankclub.ee/" TargetMode="External"/><Relationship Id="rId53" Type="http://schemas.openxmlformats.org/officeDocument/2006/relationships/hyperlink" Target="http://www.jaanikirik.ee/" TargetMode="External"/><Relationship Id="rId52" Type="http://schemas.openxmlformats.org/officeDocument/2006/relationships/hyperlink" Target="http://www.tartu.advent.ee/" TargetMode="External"/><Relationship Id="rId55" Type="http://schemas.openxmlformats.org/officeDocument/2006/relationships/hyperlink" Target="http://www.neitsimaarja.ee/" TargetMode="External"/><Relationship Id="rId54" Type="http://schemas.openxmlformats.org/officeDocument/2006/relationships/hyperlink" Target="https://www.eoc.ee/kogudus/tartu-jumalaema-uinumise-kogudus/" TargetMode="External"/><Relationship Id="rId57" Type="http://schemas.openxmlformats.org/officeDocument/2006/relationships/hyperlink" Target="http://www.tartumaarja.eelk.ee/" TargetMode="External"/><Relationship Id="rId56" Type="http://schemas.openxmlformats.org/officeDocument/2006/relationships/hyperlink" Target="http://www.kolgata.ee/" TargetMode="External"/><Relationship Id="rId59" Type="http://schemas.openxmlformats.org/officeDocument/2006/relationships/hyperlink" Target="http://www.tartupeetri.eelk.ee/" TargetMode="External"/><Relationship Id="rId58" Type="http://schemas.openxmlformats.org/officeDocument/2006/relationships/hyperlink" Target="http://www.tartupauluse.ee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tmk.tartuvald.ee/" TargetMode="External"/><Relationship Id="rId2" Type="http://schemas.openxmlformats.org/officeDocument/2006/relationships/hyperlink" Target="https://tmk.tartuvald.ee/?p=282" TargetMode="External"/><Relationship Id="rId3" Type="http://schemas.openxmlformats.org/officeDocument/2006/relationships/hyperlink" Target="https://tmk.tartuvald.ee/?p=296" TargetMode="External"/><Relationship Id="rId4" Type="http://schemas.openxmlformats.org/officeDocument/2006/relationships/hyperlink" Target="https://tmk.tartuvald.ee/?p=304" TargetMode="External"/><Relationship Id="rId9" Type="http://schemas.openxmlformats.org/officeDocument/2006/relationships/hyperlink" Target="http://raamatukogu.onepagefree.com/?id=18181&amp;" TargetMode="External"/><Relationship Id="rId5" Type="http://schemas.openxmlformats.org/officeDocument/2006/relationships/hyperlink" Target="https://tmk.tartuvald.ee/?p=309" TargetMode="External"/><Relationship Id="rId6" Type="http://schemas.openxmlformats.org/officeDocument/2006/relationships/hyperlink" Target="http://tabivereraamatukogu.wordpress.com" TargetMode="External"/><Relationship Id="rId7" Type="http://schemas.openxmlformats.org/officeDocument/2006/relationships/hyperlink" Target="https://tmk.tartuvald.ee/?p=1906" TargetMode="External"/><Relationship Id="rId8" Type="http://schemas.openxmlformats.org/officeDocument/2006/relationships/hyperlink" Target="https://tmk.tartuvald.ee/?p=1901" TargetMode="External"/><Relationship Id="rId20" Type="http://schemas.openxmlformats.org/officeDocument/2006/relationships/hyperlink" Target="http://www.korve.edu.ee/" TargetMode="External"/><Relationship Id="rId22" Type="http://schemas.openxmlformats.org/officeDocument/2006/relationships/hyperlink" Target="https://jaaaeg.ee/en/" TargetMode="External"/><Relationship Id="rId21" Type="http://schemas.openxmlformats.org/officeDocument/2006/relationships/hyperlink" Target="https://visittartu.com/et/soomepoiste-tuba-muuseum" TargetMode="External"/><Relationship Id="rId23" Type="http://schemas.openxmlformats.org/officeDocument/2006/relationships/drawing" Target="../drawings/drawing9.xml"/><Relationship Id="rId11" Type="http://schemas.openxmlformats.org/officeDocument/2006/relationships/hyperlink" Target="http://www.kultuur.tartuvald.ee/maarja" TargetMode="External"/><Relationship Id="rId10" Type="http://schemas.openxmlformats.org/officeDocument/2006/relationships/hyperlink" Target="https://tmk.tartuvald.ee/?p=290" TargetMode="External"/><Relationship Id="rId13" Type="http://schemas.openxmlformats.org/officeDocument/2006/relationships/hyperlink" Target="http://aksikogudus.org/" TargetMode="External"/><Relationship Id="rId12" Type="http://schemas.openxmlformats.org/officeDocument/2006/relationships/hyperlink" Target="http://www.kultuur.tartuvald.ee/laeva" TargetMode="External"/><Relationship Id="rId15" Type="http://schemas.openxmlformats.org/officeDocument/2006/relationships/hyperlink" Target="http://noortekad.tartuvald.ee/lahte" TargetMode="External"/><Relationship Id="rId14" Type="http://schemas.openxmlformats.org/officeDocument/2006/relationships/hyperlink" Target="http://noortekad.tartuvald.ee/laeva" TargetMode="External"/><Relationship Id="rId17" Type="http://schemas.openxmlformats.org/officeDocument/2006/relationships/hyperlink" Target="http://noortekad.tartuvald.ee/tabivere" TargetMode="External"/><Relationship Id="rId16" Type="http://schemas.openxmlformats.org/officeDocument/2006/relationships/hyperlink" Target="http://noortekad.tartuvald.ee/maarja" TargetMode="External"/><Relationship Id="rId19" Type="http://schemas.openxmlformats.org/officeDocument/2006/relationships/hyperlink" Target="https://webzone.ee/korvesh/asukoht.php" TargetMode="External"/><Relationship Id="rId18" Type="http://schemas.openxmlformats.org/officeDocument/2006/relationships/hyperlink" Target="https://tartuvallaspordikool.ee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nvv.kovtp.ee/noo-koduloomuuseum" TargetMode="External"/><Relationship Id="rId2" Type="http://schemas.openxmlformats.org/officeDocument/2006/relationships/hyperlink" Target="mailto:muuseum@nvv.ee" TargetMode="External"/><Relationship Id="rId3" Type="http://schemas.openxmlformats.org/officeDocument/2006/relationships/hyperlink" Target="http://www.meerikas.eu/index.php" TargetMode="External"/><Relationship Id="rId4" Type="http://schemas.openxmlformats.org/officeDocument/2006/relationships/hyperlink" Target="mailto:meeriselts@gmail.com" TargetMode="External"/><Relationship Id="rId9" Type="http://schemas.openxmlformats.org/officeDocument/2006/relationships/hyperlink" Target="https://nvv.kovtp.ee/raamatukogud" TargetMode="External"/><Relationship Id="rId5" Type="http://schemas.openxmlformats.org/officeDocument/2006/relationships/hyperlink" Target="http://www.n6onoortekas.wordpress.com/?fbclid=IwAR1eDWLuxow9yItqx-XlrYybL2V2_Ue-kvMIkcOqUibJQQ9gvVeDAna2e8U" TargetMode="External"/><Relationship Id="rId6" Type="http://schemas.openxmlformats.org/officeDocument/2006/relationships/hyperlink" Target="mailto:noortekeskus@nvv.ee" TargetMode="External"/><Relationship Id="rId7" Type="http://schemas.openxmlformats.org/officeDocument/2006/relationships/hyperlink" Target="https://nvv.kovtp.ee/kultuuritegevus" TargetMode="External"/><Relationship Id="rId8" Type="http://schemas.openxmlformats.org/officeDocument/2006/relationships/hyperlink" Target="mailto:andri@nvv.ee" TargetMode="External"/><Relationship Id="rId31" Type="http://schemas.openxmlformats.org/officeDocument/2006/relationships/hyperlink" Target="https://lukemois.ee/" TargetMode="External"/><Relationship Id="rId30" Type="http://schemas.openxmlformats.org/officeDocument/2006/relationships/hyperlink" Target="https://kylastuskeskus.to.ee/est/kontakt" TargetMode="External"/><Relationship Id="rId33" Type="http://schemas.openxmlformats.org/officeDocument/2006/relationships/drawing" Target="../drawings/drawing10.xml"/><Relationship Id="rId32" Type="http://schemas.openxmlformats.org/officeDocument/2006/relationships/hyperlink" Target="mailto:kristelhudsi@gmail.com" TargetMode="External"/><Relationship Id="rId20" Type="http://schemas.openxmlformats.org/officeDocument/2006/relationships/hyperlink" Target="mailto:kool@nrg.edu.ee" TargetMode="External"/><Relationship Id="rId22" Type="http://schemas.openxmlformats.org/officeDocument/2006/relationships/hyperlink" Target="mailto:nmuusika@nvv.ee" TargetMode="External"/><Relationship Id="rId21" Type="http://schemas.openxmlformats.org/officeDocument/2006/relationships/hyperlink" Target="https://muusika.nvv.ee/saal/tutvustus/" TargetMode="External"/><Relationship Id="rId24" Type="http://schemas.openxmlformats.org/officeDocument/2006/relationships/hyperlink" Target="https://nvv.kovtp.ee/kirikud-ja-kogudused" TargetMode="External"/><Relationship Id="rId23" Type="http://schemas.openxmlformats.org/officeDocument/2006/relationships/hyperlink" Target="http://nookirik.ee/" TargetMode="External"/><Relationship Id="rId26" Type="http://schemas.openxmlformats.org/officeDocument/2006/relationships/hyperlink" Target="http://tsiklitall.ee/kontakt/" TargetMode="External"/><Relationship Id="rId25" Type="http://schemas.openxmlformats.org/officeDocument/2006/relationships/hyperlink" Target="http://tsiklitall.ee/" TargetMode="External"/><Relationship Id="rId28" Type="http://schemas.openxmlformats.org/officeDocument/2006/relationships/hyperlink" Target="https://www.facebook.com/profile.php?id=100054600212452" TargetMode="External"/><Relationship Id="rId27" Type="http://schemas.openxmlformats.org/officeDocument/2006/relationships/hyperlink" Target="mailto:%20info@tsiklitall.ee" TargetMode="External"/><Relationship Id="rId29" Type="http://schemas.openxmlformats.org/officeDocument/2006/relationships/hyperlink" Target="https://vvvs.ee/et/avaleht/" TargetMode="External"/><Relationship Id="rId11" Type="http://schemas.openxmlformats.org/officeDocument/2006/relationships/hyperlink" Target="https://nvv.kovtp.ee/raamatukogud" TargetMode="External"/><Relationship Id="rId10" Type="http://schemas.openxmlformats.org/officeDocument/2006/relationships/hyperlink" Target="mailto:helle@nvv.ee" TargetMode="External"/><Relationship Id="rId13" Type="http://schemas.openxmlformats.org/officeDocument/2006/relationships/hyperlink" Target="https://nvv.kovtp.ee/raamatukogud" TargetMode="External"/><Relationship Id="rId12" Type="http://schemas.openxmlformats.org/officeDocument/2006/relationships/hyperlink" Target="mailto:luke.raamatukogu@mail.ee" TargetMode="External"/><Relationship Id="rId15" Type="http://schemas.openxmlformats.org/officeDocument/2006/relationships/hyperlink" Target="https://nvv.kovtp.ee/noo-paevakeskus" TargetMode="External"/><Relationship Id="rId14" Type="http://schemas.openxmlformats.org/officeDocument/2006/relationships/hyperlink" Target="mailto:nogiaruraamatukogu@nvv.ee" TargetMode="External"/><Relationship Id="rId17" Type="http://schemas.openxmlformats.org/officeDocument/2006/relationships/hyperlink" Target="http://noosport.ee/" TargetMode="External"/><Relationship Id="rId16" Type="http://schemas.openxmlformats.org/officeDocument/2006/relationships/hyperlink" Target="mailto:krista@nvv.ee" TargetMode="External"/><Relationship Id="rId19" Type="http://schemas.openxmlformats.org/officeDocument/2006/relationships/hyperlink" Target="https://nrg.edu.ee/et" TargetMode="External"/><Relationship Id="rId18" Type="http://schemas.openxmlformats.org/officeDocument/2006/relationships/hyperlink" Target="http://noosport.ee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akre-k%C3%BClaselts-137308059673206/" TargetMode="External"/><Relationship Id="rId2" Type="http://schemas.openxmlformats.org/officeDocument/2006/relationships/hyperlink" Target="https://www.facebook.com/ElvaElama/" TargetMode="External"/><Relationship Id="rId3" Type="http://schemas.openxmlformats.org/officeDocument/2006/relationships/hyperlink" Target="https://www.facebook.com/maeotsakylamaja/" TargetMode="External"/><Relationship Id="rId4" Type="http://schemas.openxmlformats.org/officeDocument/2006/relationships/hyperlink" Target="https://ruthmaal.wixsite.com/puhjaajamalu?fbclid=IwAR1SE2iyVgr9SExUnlwoGu-yJthIrnUKKCWDLmVKC4sVwc8mrJpxR2A_MFI" TargetMode="External"/><Relationship Id="rId9" Type="http://schemas.openxmlformats.org/officeDocument/2006/relationships/hyperlink" Target="https://elvakultuur.ee/elva-kultuurikeskus/kultuurikeskusest/" TargetMode="External"/><Relationship Id="rId5" Type="http://schemas.openxmlformats.org/officeDocument/2006/relationships/hyperlink" Target="http://www.kodukanttartumaa.ee/index.php/kuelade-info/kuelamajad/91-kuelade-info/kuelamajad/92-tilga-seltsimaja" TargetMode="External"/><Relationship Id="rId6" Type="http://schemas.openxmlformats.org/officeDocument/2006/relationships/hyperlink" Target="https://ugaraja.ee/portfolio/saaniku-talu-puhkekeskus" TargetMode="External"/><Relationship Id="rId7" Type="http://schemas.openxmlformats.org/officeDocument/2006/relationships/hyperlink" Target="https://www.facebook.com/groups/850301911667180/?fref=ts" TargetMode="External"/><Relationship Id="rId8" Type="http://schemas.openxmlformats.org/officeDocument/2006/relationships/hyperlink" Target="https://www.facebook.com/valguta.seltsimaja?fref=ts" TargetMode="External"/><Relationship Id="rId40" Type="http://schemas.openxmlformats.org/officeDocument/2006/relationships/hyperlink" Target="https://elvasport.ee/spordiobjektid/annikoru-jalgpallivaljak/" TargetMode="External"/><Relationship Id="rId42" Type="http://schemas.openxmlformats.org/officeDocument/2006/relationships/hyperlink" Target="https://elvasport.ee/spordiobjektid/rongu-keskkooli-staadion-ja-rannavorkpallivaljak/" TargetMode="External"/><Relationship Id="rId41" Type="http://schemas.openxmlformats.org/officeDocument/2006/relationships/hyperlink" Target="https://elvasport.ee/spordiobjektid/elva-gumnaasiumi-kunstmuruvaljak/" TargetMode="External"/><Relationship Id="rId44" Type="http://schemas.openxmlformats.org/officeDocument/2006/relationships/hyperlink" Target="https://elvasport.ee/spordiobjektid/palupera-pohikooli-miniarena/" TargetMode="External"/><Relationship Id="rId43" Type="http://schemas.openxmlformats.org/officeDocument/2006/relationships/hyperlink" Target="https://elvasport.ee/spordiobjektid/puhja-kooli-staadion-ja-pallivaljakud/" TargetMode="External"/><Relationship Id="rId46" Type="http://schemas.openxmlformats.org/officeDocument/2006/relationships/hyperlink" Target="https://elvasport.ee/spordiobjektid/rannu-kooli-staadion/" TargetMode="External"/><Relationship Id="rId45" Type="http://schemas.openxmlformats.org/officeDocument/2006/relationships/hyperlink" Target="https://elvasport.ee/spordiobjektid/elva-linna-staadion/" TargetMode="External"/><Relationship Id="rId48" Type="http://schemas.openxmlformats.org/officeDocument/2006/relationships/hyperlink" Target="mailto:kristjaniloodus@gmail.com" TargetMode="External"/><Relationship Id="rId47" Type="http://schemas.openxmlformats.org/officeDocument/2006/relationships/hyperlink" Target="https://noored.elva.ee/?page_id=33" TargetMode="External"/><Relationship Id="rId49" Type="http://schemas.openxmlformats.org/officeDocument/2006/relationships/hyperlink" Target="https://noored.elva.ee/?page_id=27" TargetMode="External"/><Relationship Id="rId31" Type="http://schemas.openxmlformats.org/officeDocument/2006/relationships/hyperlink" Target="https://elvaraamatukogud.ee/rannu-raamatukogu/lahtiolekuajad/" TargetMode="External"/><Relationship Id="rId30" Type="http://schemas.openxmlformats.org/officeDocument/2006/relationships/hyperlink" Target="https://elvaraamatukogud.ee/puhja-raamatukogu/uula-harukogu/" TargetMode="External"/><Relationship Id="rId33" Type="http://schemas.openxmlformats.org/officeDocument/2006/relationships/hyperlink" Target="https://elvaraamatukogud.ee/rongu-raamatukogu/kontakt/" TargetMode="External"/><Relationship Id="rId32" Type="http://schemas.openxmlformats.org/officeDocument/2006/relationships/hyperlink" Target="https://elvaraamatukogud.ee/rannu-raamatukogu/sangla-harukogu/" TargetMode="External"/><Relationship Id="rId35" Type="http://schemas.openxmlformats.org/officeDocument/2006/relationships/hyperlink" Target="https://elvaraamatukogud.ee/rongu-raamatukogu/koruste-harukogu/" TargetMode="External"/><Relationship Id="rId34" Type="http://schemas.openxmlformats.org/officeDocument/2006/relationships/hyperlink" Target="https://elvaraamatukogud.ee/rongu-raamatukogu/hellenurme-harukogu/" TargetMode="External"/><Relationship Id="rId37" Type="http://schemas.openxmlformats.org/officeDocument/2006/relationships/hyperlink" Target="https://elvaraamatukogud.ee/rongu-raamatukogu/valguta-harukogu/" TargetMode="External"/><Relationship Id="rId36" Type="http://schemas.openxmlformats.org/officeDocument/2006/relationships/hyperlink" Target="https://elvaraamatukogud.ee/rongu-raamatukogu/teedla-harukogu/" TargetMode="External"/><Relationship Id="rId39" Type="http://schemas.openxmlformats.org/officeDocument/2006/relationships/hyperlink" Target="mailto:turism@elva.ee" TargetMode="External"/><Relationship Id="rId38" Type="http://schemas.openxmlformats.org/officeDocument/2006/relationships/hyperlink" Target="https://elvasport.ee/spordihoone/tutvustus/" TargetMode="External"/><Relationship Id="rId20" Type="http://schemas.openxmlformats.org/officeDocument/2006/relationships/hyperlink" Target="https://elvakultuur.ee/puhja-seltsimaja/tutvustus/" TargetMode="External"/><Relationship Id="rId22" Type="http://schemas.openxmlformats.org/officeDocument/2006/relationships/hyperlink" Target="https://elvakultuur.ee/rannu-rahvamaja/tutvustus/" TargetMode="External"/><Relationship Id="rId21" Type="http://schemas.openxmlformats.org/officeDocument/2006/relationships/hyperlink" Target="mailto:puhja.seltsimaja@elva.ee" TargetMode="External"/><Relationship Id="rId24" Type="http://schemas.openxmlformats.org/officeDocument/2006/relationships/hyperlink" Target="https://elvaraamatukogud.ee/aakre-raamatukogu/lahtiolekuajad/" TargetMode="External"/><Relationship Id="rId23" Type="http://schemas.openxmlformats.org/officeDocument/2006/relationships/hyperlink" Target="https://elvakultuur.ee/rongu-rahvamaja/tutvustus/" TargetMode="External"/><Relationship Id="rId26" Type="http://schemas.openxmlformats.org/officeDocument/2006/relationships/hyperlink" Target="https://elvaraamatukogud.ee/elva-linnaraamatukogu/lahtiolekuajad/" TargetMode="External"/><Relationship Id="rId25" Type="http://schemas.openxmlformats.org/officeDocument/2006/relationships/hyperlink" Target="mailto:aakre.raamatukogu@elva.ee" TargetMode="External"/><Relationship Id="rId28" Type="http://schemas.openxmlformats.org/officeDocument/2006/relationships/hyperlink" Target="https://elvaraamatukogud.ee/puhja-raamatukogu/lahtiolekuajad/" TargetMode="External"/><Relationship Id="rId27" Type="http://schemas.openxmlformats.org/officeDocument/2006/relationships/hyperlink" Target="https://elvaraamatukogud.ee/konguta-raamatukogu/lahtiolekuajad/" TargetMode="External"/><Relationship Id="rId29" Type="http://schemas.openxmlformats.org/officeDocument/2006/relationships/hyperlink" Target="https://elvaraamatukogud.ee/puhja-raamatukogu/ulila-harukogu/" TargetMode="External"/><Relationship Id="rId11" Type="http://schemas.openxmlformats.org/officeDocument/2006/relationships/hyperlink" Target="https://elvakultuur.ee/aakre-rahvamaja/teenused/" TargetMode="External"/><Relationship Id="rId10" Type="http://schemas.openxmlformats.org/officeDocument/2006/relationships/hyperlink" Target="https://elvakultuur.ee/elva-kultuurikeskus/kultuurikeskusest/" TargetMode="External"/><Relationship Id="rId13" Type="http://schemas.openxmlformats.org/officeDocument/2006/relationships/hyperlink" Target="mailto:maia.kukk@elva.ee" TargetMode="External"/><Relationship Id="rId12" Type="http://schemas.openxmlformats.org/officeDocument/2006/relationships/hyperlink" Target="https://elvakultuur.ee/hellenurme-kultuurimaja/tutvustus/" TargetMode="External"/><Relationship Id="rId15" Type="http://schemas.openxmlformats.org/officeDocument/2006/relationships/hyperlink" Target="mailto:konguta.rahvamaja@elva.ee" TargetMode="External"/><Relationship Id="rId14" Type="http://schemas.openxmlformats.org/officeDocument/2006/relationships/hyperlink" Target="https://elvakultuur.ee/konguta-rahvamaja/tutvustus/" TargetMode="External"/><Relationship Id="rId17" Type="http://schemas.openxmlformats.org/officeDocument/2006/relationships/hyperlink" Target="mailto:konguta.rahvamaja@elva.ee" TargetMode="External"/><Relationship Id="rId16" Type="http://schemas.openxmlformats.org/officeDocument/2006/relationships/hyperlink" Target="https://elvakultuur.ee/konguta-rahvamaja/tutvustus/" TargetMode="External"/><Relationship Id="rId19" Type="http://schemas.openxmlformats.org/officeDocument/2006/relationships/hyperlink" Target="mailto:puhja.seltsimaja@elva.ee" TargetMode="External"/><Relationship Id="rId18" Type="http://schemas.openxmlformats.org/officeDocument/2006/relationships/hyperlink" Target="https://elvakultuur.ee/puhja-seltsimaja/tutvustus/" TargetMode="External"/><Relationship Id="rId73" Type="http://schemas.openxmlformats.org/officeDocument/2006/relationships/hyperlink" Target="https://uke.ee/kogudused/elva" TargetMode="External"/><Relationship Id="rId72" Type="http://schemas.openxmlformats.org/officeDocument/2006/relationships/hyperlink" Target="mailto:vallo.ehasalu@eelk.ee" TargetMode="External"/><Relationship Id="rId75" Type="http://schemas.openxmlformats.org/officeDocument/2006/relationships/drawing" Target="../drawings/drawing11.xml"/><Relationship Id="rId74" Type="http://schemas.openxmlformats.org/officeDocument/2006/relationships/hyperlink" Target="http://www.elvakogudus.ee/" TargetMode="External"/><Relationship Id="rId71" Type="http://schemas.openxmlformats.org/officeDocument/2006/relationships/hyperlink" Target="https://eelk.ee/elva" TargetMode="External"/><Relationship Id="rId70" Type="http://schemas.openxmlformats.org/officeDocument/2006/relationships/hyperlink" Target="https://rannu.eelk.ee/" TargetMode="External"/><Relationship Id="rId62" Type="http://schemas.openxmlformats.org/officeDocument/2006/relationships/hyperlink" Target="https://kalala.emu.ee/kalala/" TargetMode="External"/><Relationship Id="rId61" Type="http://schemas.openxmlformats.org/officeDocument/2006/relationships/hyperlink" Target="https://veskimuuseum.ee/" TargetMode="External"/><Relationship Id="rId64" Type="http://schemas.openxmlformats.org/officeDocument/2006/relationships/hyperlink" Target="https://www.bing.com/maps/default.aspx?v=2&amp;pc=FACEBK&amp;mid=8100&amp;rtp=%7Epos.58.138027_26.2491395_Pillimuuseum&amp;cp=58.138027%7E26.2491395&amp;lvl=16&amp;sty=r&amp;rtop=0%7E0%7E0%7E&amp;mode=D&amp;FORM=FBKPL1&amp;mkt=en-US" TargetMode="External"/><Relationship Id="rId63" Type="http://schemas.openxmlformats.org/officeDocument/2006/relationships/hyperlink" Target="https://pillimuuseum.weebly.com/" TargetMode="External"/><Relationship Id="rId66" Type="http://schemas.openxmlformats.org/officeDocument/2006/relationships/hyperlink" Target="http://www.rongukirik.ee/" TargetMode="External"/><Relationship Id="rId65" Type="http://schemas.openxmlformats.org/officeDocument/2006/relationships/hyperlink" Target="https://www.facebook.com/uulakylaselts/" TargetMode="External"/><Relationship Id="rId68" Type="http://schemas.openxmlformats.org/officeDocument/2006/relationships/hyperlink" Target="https://puhja.eelk.ee/kontakt/" TargetMode="External"/><Relationship Id="rId67" Type="http://schemas.openxmlformats.org/officeDocument/2006/relationships/hyperlink" Target="mailto:rongukirik@gmail.com" TargetMode="External"/><Relationship Id="rId60" Type="http://schemas.openxmlformats.org/officeDocument/2006/relationships/hyperlink" Target="https://noored.elva.ee/?page_id=39" TargetMode="External"/><Relationship Id="rId69" Type="http://schemas.openxmlformats.org/officeDocument/2006/relationships/hyperlink" Target="mailto:tiit.kuusemaa@eelk.ee" TargetMode="External"/><Relationship Id="rId51" Type="http://schemas.openxmlformats.org/officeDocument/2006/relationships/hyperlink" Target="https://noored.elva.ee/?page_id=29" TargetMode="External"/><Relationship Id="rId50" Type="http://schemas.openxmlformats.org/officeDocument/2006/relationships/hyperlink" Target="mailto:noortekeskus@elva.ee" TargetMode="External"/><Relationship Id="rId53" Type="http://schemas.openxmlformats.org/officeDocument/2006/relationships/hyperlink" Target="https://noored.elva.ee/?page_id=37" TargetMode="External"/><Relationship Id="rId52" Type="http://schemas.openxmlformats.org/officeDocument/2006/relationships/hyperlink" Target="mailto:vanaisak.mariliis@gmail.com" TargetMode="External"/><Relationship Id="rId55" Type="http://schemas.openxmlformats.org/officeDocument/2006/relationships/hyperlink" Target="https://noored.elva.ee/?page_id=35" TargetMode="External"/><Relationship Id="rId54" Type="http://schemas.openxmlformats.org/officeDocument/2006/relationships/hyperlink" Target="mailto:janno.reinomagi@puhja.edu.ee" TargetMode="External"/><Relationship Id="rId57" Type="http://schemas.openxmlformats.org/officeDocument/2006/relationships/hyperlink" Target="https://noored.elva.ee/?page_id=83" TargetMode="External"/><Relationship Id="rId56" Type="http://schemas.openxmlformats.org/officeDocument/2006/relationships/hyperlink" Target="mailto:silver.soukand@elva.ee" TargetMode="External"/><Relationship Id="rId59" Type="http://schemas.openxmlformats.org/officeDocument/2006/relationships/hyperlink" Target="https://noored.elva.ee/?page_id=393" TargetMode="External"/><Relationship Id="rId58" Type="http://schemas.openxmlformats.org/officeDocument/2006/relationships/hyperlink" Target="mailto:ulila.keskus@gmail.co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muuseum.rapina.ee/tutvustus/" TargetMode="External"/><Relationship Id="rId2" Type="http://schemas.openxmlformats.org/officeDocument/2006/relationships/hyperlink" Target="http://muuseum.rapina.ee/" TargetMode="External"/><Relationship Id="rId3" Type="http://schemas.openxmlformats.org/officeDocument/2006/relationships/hyperlink" Target="mailto:muuseum@rapina.ee" TargetMode="External"/><Relationship Id="rId4" Type="http://schemas.openxmlformats.org/officeDocument/2006/relationships/hyperlink" Target="https://kultuur.rapina.ee/" TargetMode="External"/><Relationship Id="rId9" Type="http://schemas.openxmlformats.org/officeDocument/2006/relationships/hyperlink" Target="mailto:kristel.zovo@rapina.ee" TargetMode="External"/><Relationship Id="rId5" Type="http://schemas.openxmlformats.org/officeDocument/2006/relationships/hyperlink" Target="mailto:marge.trumsi@rapina.ee" TargetMode="External"/><Relationship Id="rId6" Type="http://schemas.openxmlformats.org/officeDocument/2006/relationships/hyperlink" Target="https://noored.rapina.ee/noortekeskused/veriora-noortekas/" TargetMode="External"/><Relationship Id="rId7" Type="http://schemas.openxmlformats.org/officeDocument/2006/relationships/hyperlink" Target="mailto:mirjam.ojasaar@rapina.ee" TargetMode="External"/><Relationship Id="rId8" Type="http://schemas.openxmlformats.org/officeDocument/2006/relationships/hyperlink" Target="https://noored.rapina.ee/" TargetMode="External"/><Relationship Id="rId31" Type="http://schemas.openxmlformats.org/officeDocument/2006/relationships/hyperlink" Target="mailto:rapina@eelk.ee" TargetMode="External"/><Relationship Id="rId30" Type="http://schemas.openxmlformats.org/officeDocument/2006/relationships/hyperlink" Target="mailto:muusikakool@rapina.ee" TargetMode="External"/><Relationship Id="rId33" Type="http://schemas.openxmlformats.org/officeDocument/2006/relationships/hyperlink" Target="mailto:rapina@eaok.ee" TargetMode="External"/><Relationship Id="rId32" Type="http://schemas.openxmlformats.org/officeDocument/2006/relationships/hyperlink" Target="http://www.eelk.ee/rapina" TargetMode="External"/><Relationship Id="rId34" Type="http://schemas.openxmlformats.org/officeDocument/2006/relationships/drawing" Target="../drawings/drawing12.xml"/><Relationship Id="rId20" Type="http://schemas.openxmlformats.org/officeDocument/2006/relationships/hyperlink" Target="http://ariabi.ee/" TargetMode="External"/><Relationship Id="rId22" Type="http://schemas.openxmlformats.org/officeDocument/2006/relationships/hyperlink" Target="mailto:spordikool@rapina.ee" TargetMode="External"/><Relationship Id="rId21" Type="http://schemas.openxmlformats.org/officeDocument/2006/relationships/hyperlink" Target="http://spordikool.rapina.ee/" TargetMode="External"/><Relationship Id="rId24" Type="http://schemas.openxmlformats.org/officeDocument/2006/relationships/hyperlink" Target="http://www.yg.rapina.ee/" TargetMode="External"/><Relationship Id="rId23" Type="http://schemas.openxmlformats.org/officeDocument/2006/relationships/hyperlink" Target="http://www.yg.rapina.ee/" TargetMode="External"/><Relationship Id="rId26" Type="http://schemas.openxmlformats.org/officeDocument/2006/relationships/hyperlink" Target="http://www.yg.rapina.ee/" TargetMode="External"/><Relationship Id="rId25" Type="http://schemas.openxmlformats.org/officeDocument/2006/relationships/hyperlink" Target="http://www.yg.rapina.ee/" TargetMode="External"/><Relationship Id="rId28" Type="http://schemas.openxmlformats.org/officeDocument/2006/relationships/hyperlink" Target="http://muusikakool.rapina.ee/" TargetMode="External"/><Relationship Id="rId27" Type="http://schemas.openxmlformats.org/officeDocument/2006/relationships/hyperlink" Target="https://www.facebook.com/profile.php?id=100057584523781" TargetMode="External"/><Relationship Id="rId29" Type="http://schemas.openxmlformats.org/officeDocument/2006/relationships/hyperlink" Target="https://muusikakool.rapina.ee/" TargetMode="External"/><Relationship Id="rId11" Type="http://schemas.openxmlformats.org/officeDocument/2006/relationships/hyperlink" Target="http://www.rapina.ee/raamatukogud/-/asset_publisher/jECcjGNrkJ0H/content/voopsu-raamatukogu?redirect=http%3A%2F%2Fwww.rapina.ee%2Fraamatukogud%3Fp_p_id%3D101_INSTANCE_jECcjGNrkJ0H%26p_p_lifecycle%3D0%26p_p_state%3Dnormal%26p_p_mode%3Dview%26p_p_col_id%3Dcolumn-2%26p_p_col_count%3D1" TargetMode="External"/><Relationship Id="rId10" Type="http://schemas.openxmlformats.org/officeDocument/2006/relationships/hyperlink" Target="mailto:inga.rozova@rapina.ee" TargetMode="External"/><Relationship Id="rId13" Type="http://schemas.openxmlformats.org/officeDocument/2006/relationships/hyperlink" Target="mailto:ilona.oeselg@rapina.ee" TargetMode="External"/><Relationship Id="rId12" Type="http://schemas.openxmlformats.org/officeDocument/2006/relationships/hyperlink" Target="mailto:aili.jurmann@rapina.ee" TargetMode="External"/><Relationship Id="rId15" Type="http://schemas.openxmlformats.org/officeDocument/2006/relationships/hyperlink" Target="http://raamat.rapina.ee/" TargetMode="External"/><Relationship Id="rId14" Type="http://schemas.openxmlformats.org/officeDocument/2006/relationships/hyperlink" Target="mailto:elve.vals@rapina.ee" TargetMode="External"/><Relationship Id="rId17" Type="http://schemas.openxmlformats.org/officeDocument/2006/relationships/hyperlink" Target="http://www.rapina.ee/raamatukogud/-/asset_publisher/jECcjGNrkJ0H/content/linte-raamatukogu-kulakesk-1?redirect=http%3A%2F%2Fwww.rapina.ee%2Fraamatukogud%3Fp_p_id%3D101_INSTANCE_jECcjGNrkJ0H%26p_p_lifecycle%3D0%26p_p_state%3Dnormal%26p_p_mode%3Dview%26p_p_col_id%3Dcolumn-2%26p_p_col_count%3D1" TargetMode="External"/><Relationship Id="rId16" Type="http://schemas.openxmlformats.org/officeDocument/2006/relationships/hyperlink" Target="mailto:ester.nagland@rapina.ee" TargetMode="External"/><Relationship Id="rId19" Type="http://schemas.openxmlformats.org/officeDocument/2006/relationships/hyperlink" Target="mailto:karmen.pedosk@rapina.ee" TargetMode="External"/><Relationship Id="rId18" Type="http://schemas.openxmlformats.org/officeDocument/2006/relationships/hyperlink" Target="mailto:kaili.ratsep@rapina.ee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puhkaeestis.ee/et/ahja-valla-tuglase-muuseum" TargetMode="External"/><Relationship Id="rId2" Type="http://schemas.openxmlformats.org/officeDocument/2006/relationships/hyperlink" Target="mailto:ahja.raamat@polvavald.ee" TargetMode="External"/><Relationship Id="rId3" Type="http://schemas.openxmlformats.org/officeDocument/2006/relationships/hyperlink" Target="https://l.facebook.com/l.php?u=https%3A%2F%2Fwww.google.com%2Fmaps%2Fdir%2F%3Fapi%3D1%26destination%3D58.20813%252C27.07414%26fbclid%3DIwAR2WCFsszDBf6TtStE38Nctd6JZ0k3Kt6RcInopmWOYKTQ0xKp_h-EUrhW0&amp;h=AT2iHDuGhzty-1YCb2B5CALeVIUsTkicM6drzZMCI5KFwha54cLqZKoX16x_sEXaqRI65C2s3woMCF3pSDZmbXlv7k_pYTbgkJWT7EcyqQu9AJACKYiqUl1JsD2RMH9xg9hFyw" TargetMode="External"/><Relationship Id="rId4" Type="http://schemas.openxmlformats.org/officeDocument/2006/relationships/hyperlink" Target="http://www.lootvina.ee/p/meie-eesmargid.html" TargetMode="External"/><Relationship Id="rId9" Type="http://schemas.openxmlformats.org/officeDocument/2006/relationships/hyperlink" Target="https://www.facebook.com/Ahja-Noortekeskus-178895352201703/" TargetMode="External"/><Relationship Id="rId5" Type="http://schemas.openxmlformats.org/officeDocument/2006/relationships/hyperlink" Target="https://www.facebook.com/PolvaNTK" TargetMode="External"/><Relationship Id="rId6" Type="http://schemas.openxmlformats.org/officeDocument/2006/relationships/hyperlink" Target="mailto:polvantk@polva.ee" TargetMode="External"/><Relationship Id="rId7" Type="http://schemas.openxmlformats.org/officeDocument/2006/relationships/hyperlink" Target="https://www.facebook.com/PolvaNoortekeskus" TargetMode="External"/><Relationship Id="rId8" Type="http://schemas.openxmlformats.org/officeDocument/2006/relationships/hyperlink" Target="mailto:polvantk.polva@polva.ee" TargetMode="External"/><Relationship Id="rId40" Type="http://schemas.openxmlformats.org/officeDocument/2006/relationships/hyperlink" Target="http://www.tilsikool.edu.ee/" TargetMode="External"/><Relationship Id="rId42" Type="http://schemas.openxmlformats.org/officeDocument/2006/relationships/hyperlink" Target="https://intsikurmu.com/" TargetMode="External"/><Relationship Id="rId41" Type="http://schemas.openxmlformats.org/officeDocument/2006/relationships/hyperlink" Target="http://www.vkuuste.edu.ee/" TargetMode="External"/><Relationship Id="rId44" Type="http://schemas.openxmlformats.org/officeDocument/2006/relationships/hyperlink" Target="http://moosterahvamuusikakool.blogspot.com/p/asukoht.html" TargetMode="External"/><Relationship Id="rId43" Type="http://schemas.openxmlformats.org/officeDocument/2006/relationships/hyperlink" Target="http://moosterahvamuusikakool.blogspot.com.ee/" TargetMode="External"/><Relationship Id="rId46" Type="http://schemas.openxmlformats.org/officeDocument/2006/relationships/hyperlink" Target="http://www.moostemois.ee/" TargetMode="External"/><Relationship Id="rId45" Type="http://schemas.openxmlformats.org/officeDocument/2006/relationships/hyperlink" Target="mailto:muusikakool@rahvamuusika.ee" TargetMode="External"/><Relationship Id="rId48" Type="http://schemas.openxmlformats.org/officeDocument/2006/relationships/hyperlink" Target="https://www.metodistikirik.ee/index.php/kogudus/karsa" TargetMode="External"/><Relationship Id="rId47" Type="http://schemas.openxmlformats.org/officeDocument/2006/relationships/hyperlink" Target="https://muusikakool.polva.ee/" TargetMode="External"/><Relationship Id="rId49" Type="http://schemas.openxmlformats.org/officeDocument/2006/relationships/hyperlink" Target="http://www.mooste.ekklesia.ee/" TargetMode="External"/><Relationship Id="rId31" Type="http://schemas.openxmlformats.org/officeDocument/2006/relationships/hyperlink" Target="http://www.ahjakool.ee/" TargetMode="External"/><Relationship Id="rId30" Type="http://schemas.openxmlformats.org/officeDocument/2006/relationships/hyperlink" Target="mailto:vkuuste@raamat.polva.ee" TargetMode="External"/><Relationship Id="rId33" Type="http://schemas.openxmlformats.org/officeDocument/2006/relationships/hyperlink" Target="http://www.tervisespordikeskus.ee/" TargetMode="External"/><Relationship Id="rId32" Type="http://schemas.openxmlformats.org/officeDocument/2006/relationships/hyperlink" Target="http://www.kauksi.edu.ee/" TargetMode="External"/><Relationship Id="rId35" Type="http://schemas.openxmlformats.org/officeDocument/2006/relationships/hyperlink" Target="http://www.fclootos.ee/" TargetMode="External"/><Relationship Id="rId34" Type="http://schemas.openxmlformats.org/officeDocument/2006/relationships/hyperlink" Target="https://www.facebook.com/MoosteKultuurimaja/" TargetMode="External"/><Relationship Id="rId37" Type="http://schemas.openxmlformats.org/officeDocument/2006/relationships/hyperlink" Target="https://www.facebook.com/mty.soprus" TargetMode="External"/><Relationship Id="rId36" Type="http://schemas.openxmlformats.org/officeDocument/2006/relationships/hyperlink" Target="http://www.polva.ee/" TargetMode="External"/><Relationship Id="rId39" Type="http://schemas.openxmlformats.org/officeDocument/2006/relationships/hyperlink" Target="https://www.spordiregister.ee/et/ehitis/3080/ropka_tenniseklubi_tennisevaljak" TargetMode="External"/><Relationship Id="rId38" Type="http://schemas.openxmlformats.org/officeDocument/2006/relationships/hyperlink" Target="https://polvaspordikool.weebly.com/" TargetMode="External"/><Relationship Id="rId20" Type="http://schemas.openxmlformats.org/officeDocument/2006/relationships/hyperlink" Target="mailto:kauksi@raamat.polva.ee" TargetMode="External"/><Relationship Id="rId22" Type="http://schemas.openxmlformats.org/officeDocument/2006/relationships/hyperlink" Target="mailto:himmaste@raamat.polva.ee" TargetMode="External"/><Relationship Id="rId21" Type="http://schemas.openxmlformats.org/officeDocument/2006/relationships/hyperlink" Target="mailto:mooste@raamat.polva.ee" TargetMode="External"/><Relationship Id="rId24" Type="http://schemas.openxmlformats.org/officeDocument/2006/relationships/hyperlink" Target="mailto:peri@raamat.polva.ee" TargetMode="External"/><Relationship Id="rId23" Type="http://schemas.openxmlformats.org/officeDocument/2006/relationships/hyperlink" Target="mailto:kiuma@raamat.polva.ee" TargetMode="External"/><Relationship Id="rId26" Type="http://schemas.openxmlformats.org/officeDocument/2006/relationships/hyperlink" Target="mailto:vanakyla@raamat.polva.ee" TargetMode="External"/><Relationship Id="rId25" Type="http://schemas.openxmlformats.org/officeDocument/2006/relationships/hyperlink" Target="mailto:taevaskoja@raamat.polva.ee" TargetMode="External"/><Relationship Id="rId28" Type="http://schemas.openxmlformats.org/officeDocument/2006/relationships/hyperlink" Target="mailto:tilsi@raamat.polva.ee" TargetMode="External"/><Relationship Id="rId27" Type="http://schemas.openxmlformats.org/officeDocument/2006/relationships/hyperlink" Target="mailto:rasina@raamat.polva.ee" TargetMode="External"/><Relationship Id="rId29" Type="http://schemas.openxmlformats.org/officeDocument/2006/relationships/hyperlink" Target="http://vkuuste.raamat.polvavald.ee/" TargetMode="External"/><Relationship Id="rId11" Type="http://schemas.openxmlformats.org/officeDocument/2006/relationships/hyperlink" Target="https://www.facebook.com/moostenoortekeskus" TargetMode="External"/><Relationship Id="rId10" Type="http://schemas.openxmlformats.org/officeDocument/2006/relationships/hyperlink" Target="mailto:polvantk.ahja@polva.ee" TargetMode="External"/><Relationship Id="rId13" Type="http://schemas.openxmlformats.org/officeDocument/2006/relationships/hyperlink" Target="https://www.facebook.com/Vastse-Kuuste-Noortekeskus-1914019201994104/" TargetMode="External"/><Relationship Id="rId12" Type="http://schemas.openxmlformats.org/officeDocument/2006/relationships/hyperlink" Target="mailto:polvantk@polva.ee" TargetMode="External"/><Relationship Id="rId15" Type="http://schemas.openxmlformats.org/officeDocument/2006/relationships/hyperlink" Target="mailto:polvantk@polva.ee" TargetMode="External"/><Relationship Id="rId14" Type="http://schemas.openxmlformats.org/officeDocument/2006/relationships/hyperlink" Target="mailto:polvantk@polva.ee" TargetMode="External"/><Relationship Id="rId17" Type="http://schemas.openxmlformats.org/officeDocument/2006/relationships/hyperlink" Target="http://www.raamat.polva.ee/" TargetMode="External"/><Relationship Id="rId16" Type="http://schemas.openxmlformats.org/officeDocument/2006/relationships/hyperlink" Target="http://www.raamat.polva.ee/" TargetMode="External"/><Relationship Id="rId19" Type="http://schemas.openxmlformats.org/officeDocument/2006/relationships/hyperlink" Target="mailto:ahja@raamat.polva.ee" TargetMode="External"/><Relationship Id="rId18" Type="http://schemas.openxmlformats.org/officeDocument/2006/relationships/hyperlink" Target="mailto:kati@raamat.polva.ee" TargetMode="External"/><Relationship Id="rId51" Type="http://schemas.openxmlformats.org/officeDocument/2006/relationships/hyperlink" Target="http://polva.elusona.ee/" TargetMode="External"/><Relationship Id="rId50" Type="http://schemas.openxmlformats.org/officeDocument/2006/relationships/hyperlink" Target="https://polva.eelk.ee/" TargetMode="External"/><Relationship Id="rId53" Type="http://schemas.openxmlformats.org/officeDocument/2006/relationships/drawing" Target="../drawings/drawing13.xml"/><Relationship Id="rId52" Type="http://schemas.openxmlformats.org/officeDocument/2006/relationships/hyperlink" Target="http://www.eoc.ee/kogudus/kahri-peaingel-miikaeli-kogudus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karilatsimuuseum.ee/" TargetMode="External"/><Relationship Id="rId2" Type="http://schemas.openxmlformats.org/officeDocument/2006/relationships/hyperlink" Target="https://karilatsimuuseum.ee/" TargetMode="External"/><Relationship Id="rId3" Type="http://schemas.openxmlformats.org/officeDocument/2006/relationships/hyperlink" Target="mailto:polvamaa@wi.ee" TargetMode="External"/><Relationship Id="rId4" Type="http://schemas.openxmlformats.org/officeDocument/2006/relationships/hyperlink" Target="https://maanteemuuseum.ee/" TargetMode="External"/><Relationship Id="rId9" Type="http://schemas.openxmlformats.org/officeDocument/2006/relationships/hyperlink" Target="http://www.tuletee.ee/labyrint.html" TargetMode="External"/><Relationship Id="rId5" Type="http://schemas.openxmlformats.org/officeDocument/2006/relationships/hyperlink" Target="mailto:maanteemuuseum@mnt.ee" TargetMode="External"/><Relationship Id="rId6" Type="http://schemas.openxmlformats.org/officeDocument/2006/relationships/hyperlink" Target="mailto:maanteemuuseum@transpordiamet.ee" TargetMode="External"/><Relationship Id="rId7" Type="http://schemas.openxmlformats.org/officeDocument/2006/relationships/hyperlink" Target="https://www.pokumaa.ee/" TargetMode="External"/><Relationship Id="rId8" Type="http://schemas.openxmlformats.org/officeDocument/2006/relationships/hyperlink" Target="https://puhkaeestis.ee/et/viia-jaani-laburinditalu-3" TargetMode="External"/><Relationship Id="rId31" Type="http://schemas.openxmlformats.org/officeDocument/2006/relationships/hyperlink" Target="mailto:valgjarve.raamatukogu@kanepi.ee" TargetMode="External"/><Relationship Id="rId30" Type="http://schemas.openxmlformats.org/officeDocument/2006/relationships/hyperlink" Target="mailto:maaritsa.raamatukogu@kanepi.ee" TargetMode="External"/><Relationship Id="rId33" Type="http://schemas.openxmlformats.org/officeDocument/2006/relationships/hyperlink" Target="http://www.kanepig.edu.ee/" TargetMode="External"/><Relationship Id="rId32" Type="http://schemas.openxmlformats.org/officeDocument/2006/relationships/hyperlink" Target="http://www.kanepig.edu.ee/" TargetMode="External"/><Relationship Id="rId35" Type="http://schemas.openxmlformats.org/officeDocument/2006/relationships/drawing" Target="../drawings/drawing14.xml"/><Relationship Id="rId34" Type="http://schemas.openxmlformats.org/officeDocument/2006/relationships/hyperlink" Target="mailto:kanepi@eelk.ee" TargetMode="External"/><Relationship Id="rId20" Type="http://schemas.openxmlformats.org/officeDocument/2006/relationships/hyperlink" Target="mailto:kanepi.noortekeskus@gmail.com" TargetMode="External"/><Relationship Id="rId22" Type="http://schemas.openxmlformats.org/officeDocument/2006/relationships/hyperlink" Target="http://saverna@kanepi.ee/" TargetMode="External"/><Relationship Id="rId21" Type="http://schemas.openxmlformats.org/officeDocument/2006/relationships/hyperlink" Target="https://www.facebook.com/savernaank" TargetMode="External"/><Relationship Id="rId24" Type="http://schemas.openxmlformats.org/officeDocument/2006/relationships/hyperlink" Target="http://krootuse@kanepi.ee/" TargetMode="External"/><Relationship Id="rId23" Type="http://schemas.openxmlformats.org/officeDocument/2006/relationships/hyperlink" Target="https://www.facebook.com/KollesteANK" TargetMode="External"/><Relationship Id="rId26" Type="http://schemas.openxmlformats.org/officeDocument/2006/relationships/hyperlink" Target="mailto:krootuse.raamatukogu@kanepi.ee" TargetMode="External"/><Relationship Id="rId25" Type="http://schemas.openxmlformats.org/officeDocument/2006/relationships/hyperlink" Target="mailto:kanepi.raamatukogu@kanepi.ee" TargetMode="External"/><Relationship Id="rId28" Type="http://schemas.openxmlformats.org/officeDocument/2006/relationships/hyperlink" Target="mailto:saverna.raamatukogu@kanepi.ee" TargetMode="External"/><Relationship Id="rId27" Type="http://schemas.openxmlformats.org/officeDocument/2006/relationships/hyperlink" Target="mailto:karilatsi.raamatukogu@kanepi.ee" TargetMode="External"/><Relationship Id="rId29" Type="http://schemas.openxmlformats.org/officeDocument/2006/relationships/hyperlink" Target="https://www.facebook.com/maaritsaraamatukogu/" TargetMode="External"/><Relationship Id="rId11" Type="http://schemas.openxmlformats.org/officeDocument/2006/relationships/hyperlink" Target="mailto:maanteemuuseum@mnt.ee" TargetMode="External"/><Relationship Id="rId10" Type="http://schemas.openxmlformats.org/officeDocument/2006/relationships/hyperlink" Target="mailto:aivar@tuletee.ee" TargetMode="External"/><Relationship Id="rId13" Type="http://schemas.openxmlformats.org/officeDocument/2006/relationships/hyperlink" Target="mailto:irina.kruusla@mail.ee" TargetMode="External"/><Relationship Id="rId12" Type="http://schemas.openxmlformats.org/officeDocument/2006/relationships/hyperlink" Target="mailto:maanteemuuseum@transpordiamet.ee" TargetMode="External"/><Relationship Id="rId15" Type="http://schemas.openxmlformats.org/officeDocument/2006/relationships/hyperlink" Target="mailto:erastvere.raamatukogu@kanepi.ee" TargetMode="External"/><Relationship Id="rId14" Type="http://schemas.openxmlformats.org/officeDocument/2006/relationships/hyperlink" Target="mailto:seltsimaja@kanepi.ee" TargetMode="External"/><Relationship Id="rId17" Type="http://schemas.openxmlformats.org/officeDocument/2006/relationships/hyperlink" Target="mailto:andres@kanepi.ee" TargetMode="External"/><Relationship Id="rId16" Type="http://schemas.openxmlformats.org/officeDocument/2006/relationships/hyperlink" Target="mailto:andres@kanepi.ee" TargetMode="External"/><Relationship Id="rId19" Type="http://schemas.openxmlformats.org/officeDocument/2006/relationships/hyperlink" Target="https://www.facebook.com/groups/423431791008378" TargetMode="External"/><Relationship Id="rId18" Type="http://schemas.openxmlformats.org/officeDocument/2006/relationships/hyperlink" Target="https://www.facebook.com/KanepiAN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mall2003@hot.ee" TargetMode="External"/><Relationship Id="rId2" Type="http://schemas.openxmlformats.org/officeDocument/2006/relationships/hyperlink" Target="mailto:liana.allas@gmail.com" TargetMode="External"/><Relationship Id="rId3" Type="http://schemas.openxmlformats.org/officeDocument/2006/relationships/hyperlink" Target="mailto:tsoorurk@gmail.com" TargetMode="External"/><Relationship Id="rId4" Type="http://schemas.openxmlformats.org/officeDocument/2006/relationships/hyperlink" Target="mailto:evik206@gmail.com" TargetMode="External"/><Relationship Id="rId9" Type="http://schemas.openxmlformats.org/officeDocument/2006/relationships/hyperlink" Target="https://www.eoc.ee/kogudus/antsla-kraavi-prohvet-eelija-kogudus" TargetMode="External"/><Relationship Id="rId5" Type="http://schemas.openxmlformats.org/officeDocument/2006/relationships/hyperlink" Target="mailto:raamatukogu@kuldre.ee" TargetMode="External"/><Relationship Id="rId6" Type="http://schemas.openxmlformats.org/officeDocument/2006/relationships/hyperlink" Target="mailto:urvasterk@antsla.ee" TargetMode="External"/><Relationship Id="rId7" Type="http://schemas.openxmlformats.org/officeDocument/2006/relationships/hyperlink" Target="https://urvaste.eelk.ee/" TargetMode="External"/><Relationship Id="rId8" Type="http://schemas.openxmlformats.org/officeDocument/2006/relationships/hyperlink" Target="mailto:urvaste@eelk.ee" TargetMode="External"/><Relationship Id="rId20" Type="http://schemas.openxmlformats.org/officeDocument/2006/relationships/hyperlink" Target="mailto:helger.kavant@gmail.com" TargetMode="External"/><Relationship Id="rId22" Type="http://schemas.openxmlformats.org/officeDocument/2006/relationships/hyperlink" Target="mailto:antsla.jahikeskus@gmail.com" TargetMode="External"/><Relationship Id="rId21" Type="http://schemas.openxmlformats.org/officeDocument/2006/relationships/hyperlink" Target="https://www.facebook.com/Antsla-Jahikeskus-329399707408140" TargetMode="External"/><Relationship Id="rId23" Type="http://schemas.openxmlformats.org/officeDocument/2006/relationships/drawing" Target="../drawings/drawing15.xml"/><Relationship Id="rId11" Type="http://schemas.openxmlformats.org/officeDocument/2006/relationships/hyperlink" Target="mailto:erikalaats@gmail.com" TargetMode="External"/><Relationship Id="rId10" Type="http://schemas.openxmlformats.org/officeDocument/2006/relationships/hyperlink" Target="https://www.facebook.com/Antsla-Valla-Noored-156626905057535" TargetMode="External"/><Relationship Id="rId13" Type="http://schemas.openxmlformats.org/officeDocument/2006/relationships/hyperlink" Target="https://www.facebook.com/boose.selts" TargetMode="External"/><Relationship Id="rId12" Type="http://schemas.openxmlformats.org/officeDocument/2006/relationships/hyperlink" Target="https://www.facebook.com/Antsla-Valla-Noored-156626905057535" TargetMode="External"/><Relationship Id="rId15" Type="http://schemas.openxmlformats.org/officeDocument/2006/relationships/hyperlink" Target="http://www.urvasteseltsimaja.ee/" TargetMode="External"/><Relationship Id="rId14" Type="http://schemas.openxmlformats.org/officeDocument/2006/relationships/hyperlink" Target="https://www.facebook.com/kaikam2e" TargetMode="External"/><Relationship Id="rId17" Type="http://schemas.openxmlformats.org/officeDocument/2006/relationships/hyperlink" Target="https://www.facebook.com/Vana-Antsla-Teatriait-1237354036291423" TargetMode="External"/><Relationship Id="rId16" Type="http://schemas.openxmlformats.org/officeDocument/2006/relationships/hyperlink" Target="mailto:uks@urvasteseltsimaja.ee" TargetMode="External"/><Relationship Id="rId19" Type="http://schemas.openxmlformats.org/officeDocument/2006/relationships/hyperlink" Target="https://www.facebook.com/urvaste.villike" TargetMode="External"/><Relationship Id="rId18" Type="http://schemas.openxmlformats.org/officeDocument/2006/relationships/hyperlink" Target="mailto:helger.kavant@gmail.com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tomuuseum.ee/" TargetMode="External"/><Relationship Id="rId2" Type="http://schemas.openxmlformats.org/officeDocument/2006/relationships/hyperlink" Target="mailto:obinitsa@setomuuseum.ee" TargetMode="External"/><Relationship Id="rId3" Type="http://schemas.openxmlformats.org/officeDocument/2006/relationships/hyperlink" Target="https://www.setomuuseum.ee/" TargetMode="External"/><Relationship Id="rId4" Type="http://schemas.openxmlformats.org/officeDocument/2006/relationships/hyperlink" Target="mailto:saatse@setomuuseum.ee" TargetMode="External"/><Relationship Id="rId9" Type="http://schemas.openxmlformats.org/officeDocument/2006/relationships/hyperlink" Target="https://www.setomuuseum.ee/" TargetMode="External"/><Relationship Id="rId5" Type="http://schemas.openxmlformats.org/officeDocument/2006/relationships/hyperlink" Target="https://www.setomuuseum.ee/" TargetMode="External"/><Relationship Id="rId6" Type="http://schemas.openxmlformats.org/officeDocument/2006/relationships/hyperlink" Target="mailto:verskatalu@setomuuseum.ee" TargetMode="External"/><Relationship Id="rId7" Type="http://schemas.openxmlformats.org/officeDocument/2006/relationships/hyperlink" Target="https://www.setomuuseum.ee/" TargetMode="External"/><Relationship Id="rId8" Type="http://schemas.openxmlformats.org/officeDocument/2006/relationships/hyperlink" Target="mailto:reegimaja@setomuuseum.ee" TargetMode="External"/><Relationship Id="rId20" Type="http://schemas.openxmlformats.org/officeDocument/2006/relationships/hyperlink" Target="https://www.eoc.ee/kogudus/saatse-puha-paraskeva-kogudus/?v=a57b8491d1d8" TargetMode="External"/><Relationship Id="rId22" Type="http://schemas.openxmlformats.org/officeDocument/2006/relationships/hyperlink" Target="http://taarkateater.ee/" TargetMode="External"/><Relationship Id="rId21" Type="http://schemas.openxmlformats.org/officeDocument/2006/relationships/hyperlink" Target="https://kogudused.ee/selise-baptistikogudus/" TargetMode="External"/><Relationship Id="rId24" Type="http://schemas.openxmlformats.org/officeDocument/2006/relationships/hyperlink" Target="mailto:viivika.helmed@gmail.com" TargetMode="External"/><Relationship Id="rId23" Type="http://schemas.openxmlformats.org/officeDocument/2006/relationships/hyperlink" Target="https://kultuuriyhing.ee" TargetMode="External"/><Relationship Id="rId26" Type="http://schemas.openxmlformats.org/officeDocument/2006/relationships/hyperlink" Target="mailto:evar.riitsaar@gmail.com" TargetMode="External"/><Relationship Id="rId25" Type="http://schemas.openxmlformats.org/officeDocument/2006/relationships/hyperlink" Target="https://www.facebook.com/Seto-Ateljee-Galerii-156533907711645/" TargetMode="External"/><Relationship Id="rId28" Type="http://schemas.openxmlformats.org/officeDocument/2006/relationships/hyperlink" Target="mailto:treskikyyn@gmail.com" TargetMode="External"/><Relationship Id="rId27" Type="http://schemas.openxmlformats.org/officeDocument/2006/relationships/hyperlink" Target="https://www.treskikyyn.ee/et" TargetMode="External"/><Relationship Id="rId29" Type="http://schemas.openxmlformats.org/officeDocument/2006/relationships/drawing" Target="../drawings/drawing16.xml"/><Relationship Id="rId11" Type="http://schemas.openxmlformats.org/officeDocument/2006/relationships/hyperlink" Target="http://vana.verska.ee/muusikakool/" TargetMode="External"/><Relationship Id="rId10" Type="http://schemas.openxmlformats.org/officeDocument/2006/relationships/hyperlink" Target="mailto:tsaimaja@setomuuseum.ee" TargetMode="External"/><Relationship Id="rId13" Type="http://schemas.openxmlformats.org/officeDocument/2006/relationships/hyperlink" Target="https://www.facebook.com/Setomaa-Noorsoot%C3%B6%C3%B6-1981061721932668/" TargetMode="External"/><Relationship Id="rId12" Type="http://schemas.openxmlformats.org/officeDocument/2006/relationships/hyperlink" Target="https://www.facebook.com/Setomaa-Noorsoot%C3%B6%C3%B6-1981061721932668/" TargetMode="External"/><Relationship Id="rId15" Type="http://schemas.openxmlformats.org/officeDocument/2006/relationships/hyperlink" Target="https://www.facebook.com/Setomaa-Noorsoot%C3%B6%C3%B6-1981061721932668/" TargetMode="External"/><Relationship Id="rId14" Type="http://schemas.openxmlformats.org/officeDocument/2006/relationships/hyperlink" Target="https://www.facebook.com/Setomaa-Noorsoot%C3%B6%C3%B6-1981061721932668/" TargetMode="External"/><Relationship Id="rId17" Type="http://schemas.openxmlformats.org/officeDocument/2006/relationships/hyperlink" Target="https://www.eoc.ee/kogudus/obinitsa-issanda-muutmise-kogudus/?v=a57b8491d1d8" TargetMode="External"/><Relationship Id="rId16" Type="http://schemas.openxmlformats.org/officeDocument/2006/relationships/hyperlink" Target="https://www.eoc.ee/kogudus/kogudus-2/?v=a57b8491d1d8" TargetMode="External"/><Relationship Id="rId19" Type="http://schemas.openxmlformats.org/officeDocument/2006/relationships/hyperlink" Target="https://www.eoc.ee/kogudus/1963-2/?v=a57b8491d1d8" TargetMode="External"/><Relationship Id="rId18" Type="http://schemas.openxmlformats.org/officeDocument/2006/relationships/hyperlink" Target="https://www.eoc.ee/kogudus/meeksi-ristija-johannese-kogudus/?v=a57b8491d1d8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lib.werro.ee/" TargetMode="External"/><Relationship Id="rId2" Type="http://schemas.openxmlformats.org/officeDocument/2006/relationships/hyperlink" Target="mailto:info@lib.werro.ee" TargetMode="External"/><Relationship Id="rId3" Type="http://schemas.openxmlformats.org/officeDocument/2006/relationships/hyperlink" Target="https://lauluisa.ee/" TargetMode="External"/><Relationship Id="rId4" Type="http://schemas.openxmlformats.org/officeDocument/2006/relationships/hyperlink" Target="https://vorumuuseum.ee/" TargetMode="External"/><Relationship Id="rId9" Type="http://schemas.openxmlformats.org/officeDocument/2006/relationships/hyperlink" Target="mailto:info@voruspordikeskus.ee" TargetMode="External"/><Relationship Id="rId5" Type="http://schemas.openxmlformats.org/officeDocument/2006/relationships/hyperlink" Target="http://www.eelk.ee/voru.katariina/" TargetMode="External"/><Relationship Id="rId6" Type="http://schemas.openxmlformats.org/officeDocument/2006/relationships/hyperlink" Target="mailto:ilon.fraiman@gmail.com" TargetMode="External"/><Relationship Id="rId7" Type="http://schemas.openxmlformats.org/officeDocument/2006/relationships/hyperlink" Target="https://vorunoortekeskus.ee/" TargetMode="External"/><Relationship Id="rId8" Type="http://schemas.openxmlformats.org/officeDocument/2006/relationships/hyperlink" Target="http://www.voruspordikeskus.ee/" TargetMode="External"/><Relationship Id="rId11" Type="http://schemas.openxmlformats.org/officeDocument/2006/relationships/hyperlink" Target="mailto:heiki.kelp@vorukannel.ee" TargetMode="External"/><Relationship Id="rId10" Type="http://schemas.openxmlformats.org/officeDocument/2006/relationships/hyperlink" Target="https://www.vorumuusikakool.ee/" TargetMode="External"/><Relationship Id="rId1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hanikase@orava.ee" TargetMode="External"/><Relationship Id="rId2" Type="http://schemas.openxmlformats.org/officeDocument/2006/relationships/hyperlink" Target="mailto:kirepiraamat@gmail.com" TargetMode="External"/><Relationship Id="rId3" Type="http://schemas.openxmlformats.org/officeDocument/2006/relationships/hyperlink" Target="mailto:kaaparaamatukogu@voruvald.ee" TargetMode="External"/><Relationship Id="rId4" Type="http://schemas.openxmlformats.org/officeDocument/2006/relationships/hyperlink" Target="mailto:ylle.ermel@gmail.com" TargetMode="External"/><Relationship Id="rId9" Type="http://schemas.openxmlformats.org/officeDocument/2006/relationships/hyperlink" Target="mailto:ylle.pungits@vkhk.ee" TargetMode="External"/><Relationship Id="rId5" Type="http://schemas.openxmlformats.org/officeDocument/2006/relationships/hyperlink" Target="mailto:parkseparaamatukogu@voruvald.ee" TargetMode="External"/><Relationship Id="rId6" Type="http://schemas.openxmlformats.org/officeDocument/2006/relationships/hyperlink" Target="mailto:spalu.rk@gmail.com" TargetMode="External"/><Relationship Id="rId7" Type="http://schemas.openxmlformats.org/officeDocument/2006/relationships/hyperlink" Target="mailto:tiiupihla@gmail.com" TargetMode="External"/><Relationship Id="rId8" Type="http://schemas.openxmlformats.org/officeDocument/2006/relationships/hyperlink" Target="mailto:valiinark@gmail.com" TargetMode="External"/><Relationship Id="rId31" Type="http://schemas.openxmlformats.org/officeDocument/2006/relationships/hyperlink" Target="mailto:sirje@lasva.ee" TargetMode="External"/><Relationship Id="rId30" Type="http://schemas.openxmlformats.org/officeDocument/2006/relationships/hyperlink" Target="https://vastseliinalinnus.ee/linnus@vastseliina.ee" TargetMode="External"/><Relationship Id="rId33" Type="http://schemas.openxmlformats.org/officeDocument/2006/relationships/hyperlink" Target="mailto:parkseparahvamaja@voruvald.ee" TargetMode="External"/><Relationship Id="rId32" Type="http://schemas.openxmlformats.org/officeDocument/2006/relationships/hyperlink" Target="mailto:liina@orava.ee" TargetMode="External"/><Relationship Id="rId35" Type="http://schemas.openxmlformats.org/officeDocument/2006/relationships/hyperlink" Target="mailto:rahvamaja@vastseliina.ee" TargetMode="External"/><Relationship Id="rId34" Type="http://schemas.openxmlformats.org/officeDocument/2006/relationships/hyperlink" Target="mailto:puigarahvamaja@voruvald.ee" TargetMode="External"/><Relationship Id="rId36" Type="http://schemas.openxmlformats.org/officeDocument/2006/relationships/drawing" Target="../drawings/drawing18.xml"/><Relationship Id="rId20" Type="http://schemas.openxmlformats.org/officeDocument/2006/relationships/hyperlink" Target="mailto:viivea@hot.ee" TargetMode="External"/><Relationship Id="rId22" Type="http://schemas.openxmlformats.org/officeDocument/2006/relationships/hyperlink" Target="https://humaliste.wordpress.com" TargetMode="External"/><Relationship Id="rId21" Type="http://schemas.openxmlformats.org/officeDocument/2006/relationships/hyperlink" Target="http://www.lootsatalu.ee" TargetMode="External"/><Relationship Id="rId24" Type="http://schemas.openxmlformats.org/officeDocument/2006/relationships/hyperlink" Target="mailto:navikylaselts@gmail.com" TargetMode="External"/><Relationship Id="rId23" Type="http://schemas.openxmlformats.org/officeDocument/2006/relationships/hyperlink" Target="https://www.facebook.com/NaviSeltsimaja/" TargetMode="External"/><Relationship Id="rId26" Type="http://schemas.openxmlformats.org/officeDocument/2006/relationships/hyperlink" Target="https://mtykungla.weebly.com/" TargetMode="External"/><Relationship Id="rId25" Type="http://schemas.openxmlformats.org/officeDocument/2006/relationships/hyperlink" Target="https://www.facebook.com/groups/471508419546215" TargetMode="External"/><Relationship Id="rId28" Type="http://schemas.openxmlformats.org/officeDocument/2006/relationships/hyperlink" Target="https://www.roosutalu.ee/" TargetMode="External"/><Relationship Id="rId27" Type="http://schemas.openxmlformats.org/officeDocument/2006/relationships/hyperlink" Target="https://tsolgo.ee/" TargetMode="External"/><Relationship Id="rId29" Type="http://schemas.openxmlformats.org/officeDocument/2006/relationships/hyperlink" Target="https://vastseliinalinnus.ee/" TargetMode="External"/><Relationship Id="rId11" Type="http://schemas.openxmlformats.org/officeDocument/2006/relationships/hyperlink" Target="https://pindi.eelk.ee/" TargetMode="External"/><Relationship Id="rId10" Type="http://schemas.openxmlformats.org/officeDocument/2006/relationships/hyperlink" Target="https://vorumuuseum.ee/" TargetMode="External"/><Relationship Id="rId13" Type="http://schemas.openxmlformats.org/officeDocument/2006/relationships/hyperlink" Target="https://urvaste.eelk.ee/hooned/heimtali-kirik.html" TargetMode="External"/><Relationship Id="rId12" Type="http://schemas.openxmlformats.org/officeDocument/2006/relationships/hyperlink" Target="http://vastseliina.eelk.ee/" TargetMode="External"/><Relationship Id="rId15" Type="http://schemas.openxmlformats.org/officeDocument/2006/relationships/hyperlink" Target="mailto:kaapanoortekeskus@voruvald.ee" TargetMode="External"/><Relationship Id="rId14" Type="http://schemas.openxmlformats.org/officeDocument/2006/relationships/hyperlink" Target="mailto:ullar.salumets@eelk.ee" TargetMode="External"/><Relationship Id="rId17" Type="http://schemas.openxmlformats.org/officeDocument/2006/relationships/hyperlink" Target="https://vastseliinanoortekeskus.ee/" TargetMode="External"/><Relationship Id="rId16" Type="http://schemas.openxmlformats.org/officeDocument/2006/relationships/hyperlink" Target="mailto:puigarahvamaja@voruvald.ee" TargetMode="External"/><Relationship Id="rId19" Type="http://schemas.openxmlformats.org/officeDocument/2006/relationships/hyperlink" Target="https://www.facebook.com/LoosiKandiSelts" TargetMode="External"/><Relationship Id="rId18" Type="http://schemas.openxmlformats.org/officeDocument/2006/relationships/hyperlink" Target="mailto:parkseparahvamaja@voruvald.ee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ultuurimois.ee/" TargetMode="External"/><Relationship Id="rId2" Type="http://schemas.openxmlformats.org/officeDocument/2006/relationships/hyperlink" Target="https://monistemuuseum.ee/" TargetMode="External"/><Relationship Id="rId3" Type="http://schemas.openxmlformats.org/officeDocument/2006/relationships/hyperlink" Target="http://www.rogosi.ee/" TargetMode="External"/><Relationship Id="rId4" Type="http://schemas.openxmlformats.org/officeDocument/2006/relationships/hyperlink" Target="mailto:rogosi@rogosi.ee" TargetMode="External"/><Relationship Id="rId9" Type="http://schemas.openxmlformats.org/officeDocument/2006/relationships/hyperlink" Target="https://varstukirik.planet.ee/et" TargetMode="External"/><Relationship Id="rId5" Type="http://schemas.openxmlformats.org/officeDocument/2006/relationships/hyperlink" Target="http://www.rougemuuseum.ee/" TargetMode="External"/><Relationship Id="rId6" Type="http://schemas.openxmlformats.org/officeDocument/2006/relationships/hyperlink" Target="mailto:info@rougemuuseum.ee" TargetMode="External"/><Relationship Id="rId7" Type="http://schemas.openxmlformats.org/officeDocument/2006/relationships/hyperlink" Target="http://www.rougemaarja.ee/" TargetMode="External"/><Relationship Id="rId8" Type="http://schemas.openxmlformats.org/officeDocument/2006/relationships/hyperlink" Target="http://vastseliina.eelk.ee" TargetMode="External"/><Relationship Id="rId20" Type="http://schemas.openxmlformats.org/officeDocument/2006/relationships/hyperlink" Target="mailto:kunstikuuristoimub@gmail.com" TargetMode="External"/><Relationship Id="rId22" Type="http://schemas.openxmlformats.org/officeDocument/2006/relationships/hyperlink" Target="mailto:eda.veeroja@gmail.com" TargetMode="External"/><Relationship Id="rId21" Type="http://schemas.openxmlformats.org/officeDocument/2006/relationships/hyperlink" Target="https://revolutsioon.ee" TargetMode="External"/><Relationship Id="rId24" Type="http://schemas.openxmlformats.org/officeDocument/2006/relationships/hyperlink" Target="mailto:munamagi318@gmail.com" TargetMode="External"/><Relationship Id="rId23" Type="http://schemas.openxmlformats.org/officeDocument/2006/relationships/hyperlink" Target="http://suurmunamagi.ee" TargetMode="External"/><Relationship Id="rId26" Type="http://schemas.openxmlformats.org/officeDocument/2006/relationships/drawing" Target="../drawings/drawing19.xml"/><Relationship Id="rId25" Type="http://schemas.openxmlformats.org/officeDocument/2006/relationships/hyperlink" Target="https://catlamaja.rauge.ee/" TargetMode="External"/><Relationship Id="rId11" Type="http://schemas.openxmlformats.org/officeDocument/2006/relationships/hyperlink" Target="https://www.facebook.com/Haanja-noortemaja-107925950587837/" TargetMode="External"/><Relationship Id="rId10" Type="http://schemas.openxmlformats.org/officeDocument/2006/relationships/hyperlink" Target="https://www.eoc.ee/kogudus/plaani-puha-nikolai-kirik/?v=a57b8491d1d8" TargetMode="External"/><Relationship Id="rId13" Type="http://schemas.openxmlformats.org/officeDocument/2006/relationships/hyperlink" Target="https://www.facebook.com/VarstuNoortemaja/" TargetMode="External"/><Relationship Id="rId12" Type="http://schemas.openxmlformats.org/officeDocument/2006/relationships/hyperlink" Target="https://www.facebook.com/monistenoored/" TargetMode="External"/><Relationship Id="rId15" Type="http://schemas.openxmlformats.org/officeDocument/2006/relationships/hyperlink" Target="https://www.facebook.com/ruusmaenoortekas/" TargetMode="External"/><Relationship Id="rId14" Type="http://schemas.openxmlformats.org/officeDocument/2006/relationships/hyperlink" Target="https://rntk.ee/" TargetMode="External"/><Relationship Id="rId17" Type="http://schemas.openxmlformats.org/officeDocument/2006/relationships/hyperlink" Target="http://www.filmivargamae.ee/" TargetMode="External"/><Relationship Id="rId16" Type="http://schemas.openxmlformats.org/officeDocument/2006/relationships/hyperlink" Target="https://www.facebook.com/Luutsniku" TargetMode="External"/><Relationship Id="rId19" Type="http://schemas.openxmlformats.org/officeDocument/2006/relationships/hyperlink" Target="https://kunstikuuristoimub.wixsite.com/kunstikuur/kontakt" TargetMode="External"/><Relationship Id="rId18" Type="http://schemas.openxmlformats.org/officeDocument/2006/relationships/hyperlink" Target="mailto:ingrid@filmivargamae.ee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lgakultuurikeskus.ee/avaleht/" TargetMode="External"/><Relationship Id="rId2" Type="http://schemas.openxmlformats.org/officeDocument/2006/relationships/hyperlink" Target="https://www.facebook.com/lullemaekultuur" TargetMode="External"/><Relationship Id="rId3" Type="http://schemas.openxmlformats.org/officeDocument/2006/relationships/hyperlink" Target="mailto:enekaas@gmail.com" TargetMode="External"/><Relationship Id="rId4" Type="http://schemas.openxmlformats.org/officeDocument/2006/relationships/hyperlink" Target="https://www.kotus.ee/sundmused/" TargetMode="External"/><Relationship Id="rId9" Type="http://schemas.openxmlformats.org/officeDocument/2006/relationships/hyperlink" Target="mailto:muuseum@valgamuuseum.ee" TargetMode="External"/><Relationship Id="rId5" Type="http://schemas.openxmlformats.org/officeDocument/2006/relationships/hyperlink" Target="mailto:anommik7@gmail.com" TargetMode="External"/><Relationship Id="rId6" Type="http://schemas.openxmlformats.org/officeDocument/2006/relationships/hyperlink" Target="mailto:riinapill@hotmail.com" TargetMode="External"/><Relationship Id="rId7" Type="http://schemas.openxmlformats.org/officeDocument/2006/relationships/hyperlink" Target="mailto:kalmersa@gmail.com" TargetMode="External"/><Relationship Id="rId8" Type="http://schemas.openxmlformats.org/officeDocument/2006/relationships/hyperlink" Target="https://www.valgamuuseum.ee/kulastajale/" TargetMode="External"/><Relationship Id="rId31" Type="http://schemas.openxmlformats.org/officeDocument/2006/relationships/drawing" Target="../drawings/drawing20.xml"/><Relationship Id="rId30" Type="http://schemas.openxmlformats.org/officeDocument/2006/relationships/hyperlink" Target="http://www.valgamuusikakool.ee/" TargetMode="External"/><Relationship Id="rId20" Type="http://schemas.openxmlformats.org/officeDocument/2006/relationships/hyperlink" Target="http://www.valgaank.ee/" TargetMode="External"/><Relationship Id="rId22" Type="http://schemas.openxmlformats.org/officeDocument/2006/relationships/hyperlink" Target="mailto:noortepada@gmail.com" TargetMode="External"/><Relationship Id="rId21" Type="http://schemas.openxmlformats.org/officeDocument/2006/relationships/hyperlink" Target="mailto:valgaank@gmail.com" TargetMode="External"/><Relationship Id="rId24" Type="http://schemas.openxmlformats.org/officeDocument/2006/relationships/hyperlink" Target="mailto:madli.must@gmail.com" TargetMode="External"/><Relationship Id="rId23" Type="http://schemas.openxmlformats.org/officeDocument/2006/relationships/hyperlink" Target="mailto:anktank@gmail.com" TargetMode="External"/><Relationship Id="rId26" Type="http://schemas.openxmlformats.org/officeDocument/2006/relationships/hyperlink" Target="https://www.valgasport.ee/sportimisvoimalused/spordihall/" TargetMode="External"/><Relationship Id="rId25" Type="http://schemas.openxmlformats.org/officeDocument/2006/relationships/hyperlink" Target="mailto:carmen.tsvetkov@gmail.com" TargetMode="External"/><Relationship Id="rId28" Type="http://schemas.openxmlformats.org/officeDocument/2006/relationships/hyperlink" Target="http://maps.google.com.my/maps?q=Pedeli%202a,%20Valga&amp;z=18&amp;ie=UTF8&amp;hnear=Pedeli%202a,%20Valga&amp;output=embed" TargetMode="External"/><Relationship Id="rId27" Type="http://schemas.openxmlformats.org/officeDocument/2006/relationships/hyperlink" Target="mailto:info@valgasport.ee" TargetMode="External"/><Relationship Id="rId29" Type="http://schemas.openxmlformats.org/officeDocument/2006/relationships/hyperlink" Target="https://www.valgasport.ee/sportimisvoimalused/staadion/" TargetMode="External"/><Relationship Id="rId11" Type="http://schemas.openxmlformats.org/officeDocument/2006/relationships/hyperlink" Target="http://tsirguraamat.weebly.com/" TargetMode="External"/><Relationship Id="rId10" Type="http://schemas.openxmlformats.org/officeDocument/2006/relationships/hyperlink" Target="http://www.valgark.ee" TargetMode="External"/><Relationship Id="rId13" Type="http://schemas.openxmlformats.org/officeDocument/2006/relationships/hyperlink" Target="http://www.goldenmary.ee/" TargetMode="External"/><Relationship Id="rId12" Type="http://schemas.openxmlformats.org/officeDocument/2006/relationships/hyperlink" Target="mailto:markovich.viktor@gmail.com" TargetMode="External"/><Relationship Id="rId15" Type="http://schemas.openxmlformats.org/officeDocument/2006/relationships/hyperlink" Target="mailto:valgakogudus@gmail.com" TargetMode="External"/><Relationship Id="rId14" Type="http://schemas.openxmlformats.org/officeDocument/2006/relationships/hyperlink" Target="mailto:valgachurch@mail.ru" TargetMode="External"/><Relationship Id="rId17" Type="http://schemas.openxmlformats.org/officeDocument/2006/relationships/hyperlink" Target="mailto:valga.peetri-luke@eelk.ee" TargetMode="External"/><Relationship Id="rId16" Type="http://schemas.openxmlformats.org/officeDocument/2006/relationships/hyperlink" Target="mailto:vallo.ehasalu@eelk.ee" TargetMode="External"/><Relationship Id="rId19" Type="http://schemas.openxmlformats.org/officeDocument/2006/relationships/hyperlink" Target="mailto:ivo.pill@eelk.ee" TargetMode="External"/><Relationship Id="rId18" Type="http://schemas.openxmlformats.org/officeDocument/2006/relationships/hyperlink" Target="mailto:lullemae@gmail.com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kinokoit.ee/" TargetMode="External"/><Relationship Id="rId2" Type="http://schemas.openxmlformats.org/officeDocument/2006/relationships/hyperlink" Target="https://torva.kovtp.ee/barclay-de-tolly-mausoleum" TargetMode="External"/><Relationship Id="rId3" Type="http://schemas.openxmlformats.org/officeDocument/2006/relationships/hyperlink" Target="http://helmemuuseum.edicypages.com/" TargetMode="External"/><Relationship Id="rId4" Type="http://schemas.openxmlformats.org/officeDocument/2006/relationships/hyperlink" Target="https://torva.kovtp.ee/torva-muusikakool" TargetMode="External"/><Relationship Id="rId9" Type="http://schemas.openxmlformats.org/officeDocument/2006/relationships/hyperlink" Target="https://torva.kovtp.ee/torva-linnaraamatukogu" TargetMode="External"/><Relationship Id="rId5" Type="http://schemas.openxmlformats.org/officeDocument/2006/relationships/hyperlink" Target="https://www.facebook.com/riidaja.noortetuba" TargetMode="External"/><Relationship Id="rId6" Type="http://schemas.openxmlformats.org/officeDocument/2006/relationships/hyperlink" Target="https://www.facebook.com/groups/168005730055070/about/" TargetMode="External"/><Relationship Id="rId7" Type="http://schemas.openxmlformats.org/officeDocument/2006/relationships/hyperlink" Target="https://www.facebook.com/ritsunoortetuba/" TargetMode="External"/><Relationship Id="rId8" Type="http://schemas.openxmlformats.org/officeDocument/2006/relationships/hyperlink" Target="https://torva.kovtp.ee/kontakt-ja-teave-torva-noortekeskus" TargetMode="External"/><Relationship Id="rId20" Type="http://schemas.openxmlformats.org/officeDocument/2006/relationships/hyperlink" Target="https://torva.kovtp.ee/riidaja-kultuurimaja" TargetMode="External"/><Relationship Id="rId22" Type="http://schemas.openxmlformats.org/officeDocument/2006/relationships/hyperlink" Target="https://torva.kovtp.ee/torva-kultuurimaja1" TargetMode="External"/><Relationship Id="rId21" Type="http://schemas.openxmlformats.org/officeDocument/2006/relationships/hyperlink" Target="https://torva.kovtp.ee/riidaja-kultuurimaja" TargetMode="External"/><Relationship Id="rId24" Type="http://schemas.openxmlformats.org/officeDocument/2006/relationships/drawing" Target="../drawings/drawing21.xml"/><Relationship Id="rId23" Type="http://schemas.openxmlformats.org/officeDocument/2006/relationships/hyperlink" Target="https://torva.kovtp.ee/kontakt-ja-teave-torva-kultuurimaja" TargetMode="External"/><Relationship Id="rId11" Type="http://schemas.openxmlformats.org/officeDocument/2006/relationships/hyperlink" Target="https://torva.kovtp.ee/treeningud" TargetMode="External"/><Relationship Id="rId10" Type="http://schemas.openxmlformats.org/officeDocument/2006/relationships/hyperlink" Target="https://torva.kovtp.ee/treeningud" TargetMode="External"/><Relationship Id="rId13" Type="http://schemas.openxmlformats.org/officeDocument/2006/relationships/hyperlink" Target="https://torva.kovtp.ee/torva-kirik-kammersaal" TargetMode="External"/><Relationship Id="rId12" Type="http://schemas.openxmlformats.org/officeDocument/2006/relationships/hyperlink" Target="https://torva.kovtp.ee/treeningud" TargetMode="External"/><Relationship Id="rId15" Type="http://schemas.openxmlformats.org/officeDocument/2006/relationships/hyperlink" Target="https://torva.kovtp.ee/ala-rahvamaja" TargetMode="External"/><Relationship Id="rId14" Type="http://schemas.openxmlformats.org/officeDocument/2006/relationships/hyperlink" Target="https://torva.kovtp.ee/ala-rahvamaja" TargetMode="External"/><Relationship Id="rId17" Type="http://schemas.openxmlformats.org/officeDocument/2006/relationships/hyperlink" Target="https://torva.kovtp.ee/hummuli-rahvamaja" TargetMode="External"/><Relationship Id="rId16" Type="http://schemas.openxmlformats.org/officeDocument/2006/relationships/hyperlink" Target="https://torva.kovtp.ee/hummuli-rahvamaja" TargetMode="External"/><Relationship Id="rId19" Type="http://schemas.openxmlformats.org/officeDocument/2006/relationships/hyperlink" Target="https://torva.kovtp.ee/koorkula-rahvamaja" TargetMode="External"/><Relationship Id="rId18" Type="http://schemas.openxmlformats.org/officeDocument/2006/relationships/hyperlink" Target="https://torva.kovtp.ee/koorkula-rahvamaja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mailto:%20Merle.Soonberg@otepaa.ee/" TargetMode="External"/><Relationship Id="rId2" Type="http://schemas.openxmlformats.org/officeDocument/2006/relationships/hyperlink" Target="http://mailto:%20Marina.Pulver@otepaa.ee/" TargetMode="External"/><Relationship Id="rId3" Type="http://schemas.openxmlformats.org/officeDocument/2006/relationships/hyperlink" Target="http://mailto:%20Marika.Viks@otepaa.ee/" TargetMode="External"/><Relationship Id="rId4" Type="http://schemas.openxmlformats.org/officeDocument/2006/relationships/hyperlink" Target="http://mailto:%20Katrin.Uffert@otepaa.ee/" TargetMode="External"/><Relationship Id="rId9" Type="http://schemas.openxmlformats.org/officeDocument/2006/relationships/hyperlink" Target="http://mailto:%20Otepaa.Linnaraamatukogu@otepaa.ee/" TargetMode="External"/><Relationship Id="rId5" Type="http://schemas.openxmlformats.org/officeDocument/2006/relationships/hyperlink" Target="http://mailto:%20Katrin.Uffert@otepaa.ee/" TargetMode="External"/><Relationship Id="rId6" Type="http://schemas.openxmlformats.org/officeDocument/2006/relationships/hyperlink" Target="http://kuigatsi.edicypages.com/klamaja" TargetMode="External"/><Relationship Id="rId7" Type="http://schemas.openxmlformats.org/officeDocument/2006/relationships/hyperlink" Target="http://kuigatsi.edicypages.com/klamaja" TargetMode="External"/><Relationship Id="rId8" Type="http://schemas.openxmlformats.org/officeDocument/2006/relationships/hyperlink" Target="http://mailto:%20Tiiu.Treimuth@otepaa.ee/" TargetMode="External"/><Relationship Id="rId40" Type="http://schemas.openxmlformats.org/officeDocument/2006/relationships/hyperlink" Target="http://www.tehvandi.ee/" TargetMode="External"/><Relationship Id="rId42" Type="http://schemas.openxmlformats.org/officeDocument/2006/relationships/hyperlink" Target="http://mailto:%20tehvandi@tehvandi.ee/" TargetMode="External"/><Relationship Id="rId41" Type="http://schemas.openxmlformats.org/officeDocument/2006/relationships/hyperlink" Target="http://www.tehvandi.ee/" TargetMode="External"/><Relationship Id="rId44" Type="http://schemas.openxmlformats.org/officeDocument/2006/relationships/hyperlink" Target="http://www.kaariku.com/" TargetMode="External"/><Relationship Id="rId43" Type="http://schemas.openxmlformats.org/officeDocument/2006/relationships/hyperlink" Target="http://www.kaariku.com/" TargetMode="External"/><Relationship Id="rId46" Type="http://schemas.openxmlformats.org/officeDocument/2006/relationships/hyperlink" Target="https://www.kuutsemae.ee/" TargetMode="External"/><Relationship Id="rId45" Type="http://schemas.openxmlformats.org/officeDocument/2006/relationships/hyperlink" Target="http://www.kuutsemae.ee/" TargetMode="External"/><Relationship Id="rId48" Type="http://schemas.openxmlformats.org/officeDocument/2006/relationships/hyperlink" Target="http://www.munakas.ee/index.php" TargetMode="External"/><Relationship Id="rId47" Type="http://schemas.openxmlformats.org/officeDocument/2006/relationships/hyperlink" Target="mailto:fun@kuutsemae.ee" TargetMode="External"/><Relationship Id="rId49" Type="http://schemas.openxmlformats.org/officeDocument/2006/relationships/hyperlink" Target="http://www.munakas.ee/" TargetMode="External"/><Relationship Id="rId31" Type="http://schemas.openxmlformats.org/officeDocument/2006/relationships/hyperlink" Target="http://www.nuustaku.edu.ee/" TargetMode="External"/><Relationship Id="rId30" Type="http://schemas.openxmlformats.org/officeDocument/2006/relationships/hyperlink" Target="mailto:karupuh@mail.ee" TargetMode="External"/><Relationship Id="rId33" Type="http://schemas.openxmlformats.org/officeDocument/2006/relationships/hyperlink" Target="http://www.tehvandi.ee/" TargetMode="External"/><Relationship Id="rId32" Type="http://schemas.openxmlformats.org/officeDocument/2006/relationships/hyperlink" Target="mailto:kool@nuustaku.edu.ee" TargetMode="External"/><Relationship Id="rId35" Type="http://schemas.openxmlformats.org/officeDocument/2006/relationships/hyperlink" Target="http://www.valgapraostkond.ee/index.php?op=3&amp;path=Otep%E4%E4%2FEesti+Lipu+Muuseum" TargetMode="External"/><Relationship Id="rId34" Type="http://schemas.openxmlformats.org/officeDocument/2006/relationships/hyperlink" Target="http://mailto:%20tehvandi@tehvandi.ee/" TargetMode="External"/><Relationship Id="rId37" Type="http://schemas.openxmlformats.org/officeDocument/2006/relationships/hyperlink" Target="mailto:jaan.uibo@gmail.com" TargetMode="External"/><Relationship Id="rId36" Type="http://schemas.openxmlformats.org/officeDocument/2006/relationships/hyperlink" Target="mailto:jaan.uibo@gmail.com" TargetMode="External"/><Relationship Id="rId39" Type="http://schemas.openxmlformats.org/officeDocument/2006/relationships/hyperlink" Target="mailto:%20mae@veskimuuseum.ee" TargetMode="External"/><Relationship Id="rId38" Type="http://schemas.openxmlformats.org/officeDocument/2006/relationships/hyperlink" Target="http://www.veskimuuseum.ee/" TargetMode="External"/><Relationship Id="rId20" Type="http://schemas.openxmlformats.org/officeDocument/2006/relationships/hyperlink" Target="https://www.facebook.com/EELK-Otep%C3%A4%C3%A4-Maarja-kirik-229968010416405/" TargetMode="External"/><Relationship Id="rId22" Type="http://schemas.openxmlformats.org/officeDocument/2006/relationships/hyperlink" Target="http://www.valgapraostkond.ee/index.php?op=3&amp;path=Sangaste" TargetMode="External"/><Relationship Id="rId21" Type="http://schemas.openxmlformats.org/officeDocument/2006/relationships/hyperlink" Target="http://mailto:%20marko.tiirmaa@eelk.ee/" TargetMode="External"/><Relationship Id="rId24" Type="http://schemas.openxmlformats.org/officeDocument/2006/relationships/hyperlink" Target="http://www.palverandur.ee/" TargetMode="External"/><Relationship Id="rId23" Type="http://schemas.openxmlformats.org/officeDocument/2006/relationships/hyperlink" Target="http://mailto:%20pill@hot.ee/" TargetMode="External"/><Relationship Id="rId26" Type="http://schemas.openxmlformats.org/officeDocument/2006/relationships/hyperlink" Target="https://kogudused.ee/puka-vabakogudus/" TargetMode="External"/><Relationship Id="rId25" Type="http://schemas.openxmlformats.org/officeDocument/2006/relationships/hyperlink" Target="http://mailto:%20info@palverandur.ee/" TargetMode="External"/><Relationship Id="rId28" Type="http://schemas.openxmlformats.org/officeDocument/2006/relationships/hyperlink" Target="https://www.eoc.ee/kogudus/ilmjarve-jumalailmutamise-kogudus/?v=a57b8491d1d8" TargetMode="External"/><Relationship Id="rId27" Type="http://schemas.openxmlformats.org/officeDocument/2006/relationships/hyperlink" Target="http://mailto:%20puka@kogudused.ee/" TargetMode="External"/><Relationship Id="rId29" Type="http://schemas.openxmlformats.org/officeDocument/2006/relationships/hyperlink" Target="http://www.kirmus.ee/nypli" TargetMode="External"/><Relationship Id="rId11" Type="http://schemas.openxmlformats.org/officeDocument/2006/relationships/hyperlink" Target="http://mailto:%20Ly.Haaviste@otepaa.ee/" TargetMode="External"/><Relationship Id="rId10" Type="http://schemas.openxmlformats.org/officeDocument/2006/relationships/hyperlink" Target="http://www.otepaa.ee/puhajarve-raamatukogu" TargetMode="External"/><Relationship Id="rId13" Type="http://schemas.openxmlformats.org/officeDocument/2006/relationships/hyperlink" Target="mailto:Heili.Kalbri@otepaa.ee" TargetMode="External"/><Relationship Id="rId12" Type="http://schemas.openxmlformats.org/officeDocument/2006/relationships/hyperlink" Target="mailto:Heili.Kalbri@otepaa.ee" TargetMode="External"/><Relationship Id="rId15" Type="http://schemas.openxmlformats.org/officeDocument/2006/relationships/hyperlink" Target="http://pukark.onepagefree.com/index.php" TargetMode="External"/><Relationship Id="rId14" Type="http://schemas.openxmlformats.org/officeDocument/2006/relationships/hyperlink" Target="mailto:%20Anne.Udekyll@otepaa.ee" TargetMode="External"/><Relationship Id="rId17" Type="http://schemas.openxmlformats.org/officeDocument/2006/relationships/hyperlink" Target="http://Mailto:%20Ene.Markov@otepaa.ee/" TargetMode="External"/><Relationship Id="rId16" Type="http://schemas.openxmlformats.org/officeDocument/2006/relationships/hyperlink" Target="http://pukark.onepagefree.com/index.php" TargetMode="External"/><Relationship Id="rId19" Type="http://schemas.openxmlformats.org/officeDocument/2006/relationships/hyperlink" Target="http://mailto:%20Tiiu.Treimuth@otepaa.ee/" TargetMode="External"/><Relationship Id="rId18" Type="http://schemas.openxmlformats.org/officeDocument/2006/relationships/hyperlink" Target="http://kuigatsi.edicypages.com/klamaja/raamatukogu" TargetMode="External"/><Relationship Id="rId62" Type="http://schemas.openxmlformats.org/officeDocument/2006/relationships/hyperlink" Target="http://mailto:%20Pille.Priidik@otepaa.ee/" TargetMode="External"/><Relationship Id="rId61" Type="http://schemas.openxmlformats.org/officeDocument/2006/relationships/hyperlink" Target="http://mailto:%20Pille.Priidik@otepaa.ee/" TargetMode="External"/><Relationship Id="rId64" Type="http://schemas.openxmlformats.org/officeDocument/2006/relationships/hyperlink" Target="http://mailto:%20viks.marika@gmail.com/" TargetMode="External"/><Relationship Id="rId63" Type="http://schemas.openxmlformats.org/officeDocument/2006/relationships/hyperlink" Target="http://noored.palupera.ee/" TargetMode="External"/><Relationship Id="rId66" Type="http://schemas.openxmlformats.org/officeDocument/2006/relationships/hyperlink" Target="mailto:muusikakool@otepaa.ee" TargetMode="External"/><Relationship Id="rId65" Type="http://schemas.openxmlformats.org/officeDocument/2006/relationships/hyperlink" Target="http://www.otepaamuusikakool.ee/" TargetMode="External"/><Relationship Id="rId67" Type="http://schemas.openxmlformats.org/officeDocument/2006/relationships/drawing" Target="../drawings/drawing22.xml"/><Relationship Id="rId60" Type="http://schemas.openxmlformats.org/officeDocument/2006/relationships/hyperlink" Target="http://mailto:%20Katlin.Nukka@otepaa.ee/" TargetMode="External"/><Relationship Id="rId51" Type="http://schemas.openxmlformats.org/officeDocument/2006/relationships/hyperlink" Target="http://www.otepaagolf.ee/" TargetMode="External"/><Relationship Id="rId50" Type="http://schemas.openxmlformats.org/officeDocument/2006/relationships/hyperlink" Target="http://www.anso.ee/" TargetMode="External"/><Relationship Id="rId53" Type="http://schemas.openxmlformats.org/officeDocument/2006/relationships/hyperlink" Target="mailto:info@otepaagolf.com" TargetMode="External"/><Relationship Id="rId52" Type="http://schemas.openxmlformats.org/officeDocument/2006/relationships/hyperlink" Target="http://www.otepaagolf.com/et/" TargetMode="External"/><Relationship Id="rId55" Type="http://schemas.openxmlformats.org/officeDocument/2006/relationships/hyperlink" Target="http://www.pyhajarve.edu.ee/" TargetMode="External"/><Relationship Id="rId54" Type="http://schemas.openxmlformats.org/officeDocument/2006/relationships/hyperlink" Target="http://www.pyhajarve.edu.ee/" TargetMode="External"/><Relationship Id="rId57" Type="http://schemas.openxmlformats.org/officeDocument/2006/relationships/hyperlink" Target="http://www.pyhajarve.com/" TargetMode="External"/><Relationship Id="rId56" Type="http://schemas.openxmlformats.org/officeDocument/2006/relationships/hyperlink" Target="mailto:aartain@gmail.com" TargetMode="External"/><Relationship Id="rId59" Type="http://schemas.openxmlformats.org/officeDocument/2006/relationships/hyperlink" Target="http://www.noortekeskus.eu/" TargetMode="External"/><Relationship Id="rId58" Type="http://schemas.openxmlformats.org/officeDocument/2006/relationships/hyperlink" Target="https://www.pyhajarve.com/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gala.ee/" TargetMode="External"/><Relationship Id="rId2" Type="http://schemas.openxmlformats.org/officeDocument/2006/relationships/hyperlink" Target="http://www.ugala.ee/wp-content/uploads/2018/03/suur_saal_disabilityfriendly_valge.png" TargetMode="External"/><Relationship Id="rId3" Type="http://schemas.openxmlformats.org/officeDocument/2006/relationships/hyperlink" Target="https://www.viljandinukuteater.ee/" TargetMode="External"/><Relationship Id="rId4" Type="http://schemas.openxmlformats.org/officeDocument/2006/relationships/hyperlink" Target="mailto:nukuteater@viljandi.ee" TargetMode="External"/><Relationship Id="rId9" Type="http://schemas.openxmlformats.org/officeDocument/2006/relationships/hyperlink" Target="https://www.rukigalerii.ee/" TargetMode="External"/><Relationship Id="rId5" Type="http://schemas.openxmlformats.org/officeDocument/2006/relationships/hyperlink" Target="http://muuseum.viljandimaa.ee/www/" TargetMode="External"/><Relationship Id="rId6" Type="http://schemas.openxmlformats.org/officeDocument/2006/relationships/hyperlink" Target="https://www.forumcinemas.ee/cinemas/centrum" TargetMode="External"/><Relationship Id="rId7" Type="http://schemas.openxmlformats.org/officeDocument/2006/relationships/hyperlink" Target="https://www.sakalakeskus.ee/asukoht/viljandi-vana-lennukitehas/" TargetMode="External"/><Relationship Id="rId8" Type="http://schemas.openxmlformats.org/officeDocument/2006/relationships/hyperlink" Target="http://raamatukogu.viljandi.ee/" TargetMode="External"/><Relationship Id="rId31" Type="http://schemas.openxmlformats.org/officeDocument/2006/relationships/hyperlink" Target="https://www.viljandigymnaasium.edu.ee/et/kontakt" TargetMode="External"/><Relationship Id="rId30" Type="http://schemas.openxmlformats.org/officeDocument/2006/relationships/hyperlink" Target="mailto:reevo.maidla@ut.ee" TargetMode="External"/><Relationship Id="rId33" Type="http://schemas.openxmlformats.org/officeDocument/2006/relationships/drawing" Target="../drawings/drawing23.xml"/><Relationship Id="rId32" Type="http://schemas.openxmlformats.org/officeDocument/2006/relationships/hyperlink" Target="https://www.viljandigymnaasium.edu.ee/et/kontakt" TargetMode="External"/><Relationship Id="rId20" Type="http://schemas.openxmlformats.org/officeDocument/2006/relationships/hyperlink" Target="http://www.viljandimuusikakool.ee/" TargetMode="External"/><Relationship Id="rId22" Type="http://schemas.openxmlformats.org/officeDocument/2006/relationships/hyperlink" Target="https://www.sakalakeskus.ee/asukoht/kaevumae-vabaohulava/" TargetMode="External"/><Relationship Id="rId21" Type="http://schemas.openxmlformats.org/officeDocument/2006/relationships/hyperlink" Target="http://info@viljandimuusikakool.ee/" TargetMode="External"/><Relationship Id="rId24" Type="http://schemas.openxmlformats.org/officeDocument/2006/relationships/hyperlink" Target="https://www.sakalakeskus.ee/asukoht/ii-kirsimagi/" TargetMode="External"/><Relationship Id="rId23" Type="http://schemas.openxmlformats.org/officeDocument/2006/relationships/hyperlink" Target="https://www.sakalakeskus.ee/asukoht/i-kirsimagi/" TargetMode="External"/><Relationship Id="rId26" Type="http://schemas.openxmlformats.org/officeDocument/2006/relationships/hyperlink" Target="https://www.sakalakeskus.ee/asukoht/viljandi-vana-veetorn/" TargetMode="External"/><Relationship Id="rId25" Type="http://schemas.openxmlformats.org/officeDocument/2006/relationships/hyperlink" Target="https://www.sakalakeskus.ee/" TargetMode="External"/><Relationship Id="rId28" Type="http://schemas.openxmlformats.org/officeDocument/2006/relationships/hyperlink" Target="mailto:folk@folk.ee" TargetMode="External"/><Relationship Id="rId27" Type="http://schemas.openxmlformats.org/officeDocument/2006/relationships/hyperlink" Target="https://www.folk.ee/" TargetMode="External"/><Relationship Id="rId29" Type="http://schemas.openxmlformats.org/officeDocument/2006/relationships/hyperlink" Target="https://www.kultuur.ut.ee/et/akadeemia" TargetMode="External"/><Relationship Id="rId11" Type="http://schemas.openxmlformats.org/officeDocument/2006/relationships/hyperlink" Target="http://www.viljandispordikeskus.ee/" TargetMode="External"/><Relationship Id="rId10" Type="http://schemas.openxmlformats.org/officeDocument/2006/relationships/hyperlink" Target="http://www.kondas.ee/" TargetMode="External"/><Relationship Id="rId13" Type="http://schemas.openxmlformats.org/officeDocument/2006/relationships/hyperlink" Target="http://spordiplatsid.ee/plats/2352/Viljandi-linnastaadion" TargetMode="External"/><Relationship Id="rId12" Type="http://schemas.openxmlformats.org/officeDocument/2006/relationships/hyperlink" Target="http://www.viljandijaahall.ee/" TargetMode="External"/><Relationship Id="rId15" Type="http://schemas.openxmlformats.org/officeDocument/2006/relationships/hyperlink" Target="https://viljandi.jaani.eelk.ee/" TargetMode="External"/><Relationship Id="rId14" Type="http://schemas.openxmlformats.org/officeDocument/2006/relationships/hyperlink" Target="https://www.sakalakeskus.ee/asukoht/viljandi-lauluvaljak/" TargetMode="External"/><Relationship Id="rId17" Type="http://schemas.openxmlformats.org/officeDocument/2006/relationships/hyperlink" Target="mailto:viljandi.pauluse@eelk.ee" TargetMode="External"/><Relationship Id="rId16" Type="http://schemas.openxmlformats.org/officeDocument/2006/relationships/hyperlink" Target="https://viljandi.praostkond.eelk.ee/kogudus.php?id=159" TargetMode="External"/><Relationship Id="rId19" Type="http://schemas.openxmlformats.org/officeDocument/2006/relationships/hyperlink" Target="https://www.google.com/search?q=Viljandi%20kirikud&amp;oq=Viljandi+kiruikud&amp;aqs=chrome..69i57j0i13.4625j1j15&amp;sourceid=chrome&amp;ie=UTF-8&amp;tbs=lf:1,lf_ui:2&amp;tbm=lcl&amp;sxsrf=ALeKk01leWA51tcBnTcXskbxUrLXZxJlKg:1620728055703&amp;rflfq=1&amp;num=10&amp;rldimm=657324148505025923&amp;lqi=ChBWaWxqYW5kaSBraXJpa3VkWhsKB2tpcmlrdWQiEHZpbGphbmRpIGtpcmlrdWSSAQ5iYXB0aXN0X2NodXJjaKoBDxABKgsiB2tpcmlrdWQoGA&amp;ved=2ahUKEwjKgqbAssHwAhWBlosKHVUxBVgQvS4wB3oECAUQPg&amp;rlst=f" TargetMode="External"/><Relationship Id="rId18" Type="http://schemas.openxmlformats.org/officeDocument/2006/relationships/hyperlink" Target="https://vbk.ee/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43"/>
    <col customWidth="1" min="2" max="2" width="15.14"/>
    <col customWidth="1" min="3" max="3" width="17.29"/>
    <col customWidth="1" min="4" max="4" width="53.29"/>
    <col customWidth="1" min="5" max="5" width="19.71"/>
    <col customWidth="1" min="6" max="6" width="32.29"/>
    <col customWidth="1" min="7" max="7" width="19.71"/>
    <col customWidth="1" min="8" max="8" width="24.14"/>
    <col customWidth="1" min="9" max="9" width="22.71"/>
    <col customWidth="1" min="10" max="10" width="14.29"/>
    <col customWidth="1" min="11" max="11" width="19.29"/>
    <col customWidth="1" min="12" max="12" width="24.14"/>
    <col customWidth="1" min="13" max="13" width="17.14"/>
    <col customWidth="1" min="14" max="14" width="18.86"/>
    <col customWidth="1" min="15" max="15" width="22.0"/>
    <col customWidth="1" min="16" max="16" width="24.14"/>
    <col customWidth="1" min="17" max="17" width="22.43"/>
    <col customWidth="1" min="18" max="18" width="19.14"/>
    <col customWidth="1" min="19" max="19" width="25.29"/>
    <col customWidth="1" min="20" max="20" width="26.43"/>
    <col customWidth="1" min="21" max="21" width="17.43"/>
    <col customWidth="1" min="22" max="22" width="20.71"/>
    <col customWidth="1" min="23" max="23" width="21.86"/>
    <col customWidth="1" min="24" max="24" width="17.57"/>
    <col customWidth="1" min="25" max="25" width="16.14"/>
    <col customWidth="1" min="26" max="26" width="54.43"/>
    <col customWidth="1" min="27" max="35" width="30.71"/>
  </cols>
  <sheetData>
    <row r="1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25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26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/>
      <c r="AB1" s="6"/>
      <c r="AC1" s="6"/>
      <c r="AD1" s="6"/>
      <c r="AE1" s="6"/>
      <c r="AF1" s="6"/>
      <c r="AG1" s="6"/>
      <c r="AH1" s="6"/>
      <c r="AI1" s="6"/>
    </row>
    <row r="2">
      <c r="A2" s="10" t="s">
        <v>27</v>
      </c>
      <c r="B2" s="10" t="s">
        <v>28</v>
      </c>
      <c r="C2" s="11" t="s">
        <v>29</v>
      </c>
      <c r="D2" s="12"/>
      <c r="E2" s="13" t="s">
        <v>30</v>
      </c>
      <c r="F2" s="10" t="s">
        <v>31</v>
      </c>
      <c r="G2" s="10" t="s">
        <v>32</v>
      </c>
      <c r="H2" s="10" t="s">
        <v>33</v>
      </c>
      <c r="I2" s="11">
        <v>80.0</v>
      </c>
      <c r="J2" s="11" t="s">
        <v>34</v>
      </c>
      <c r="K2" s="11" t="s">
        <v>35</v>
      </c>
      <c r="L2" s="11">
        <v>80.0</v>
      </c>
      <c r="M2" s="14" t="s">
        <v>36</v>
      </c>
      <c r="N2" s="10"/>
      <c r="O2" s="11" t="s">
        <v>37</v>
      </c>
      <c r="P2" s="14" t="s">
        <v>37</v>
      </c>
      <c r="Q2" s="11" t="s">
        <v>37</v>
      </c>
      <c r="R2" s="10"/>
      <c r="S2" s="14" t="s">
        <v>38</v>
      </c>
      <c r="T2" s="14" t="s">
        <v>39</v>
      </c>
      <c r="U2" s="11" t="s">
        <v>40</v>
      </c>
      <c r="V2" s="11" t="s">
        <v>38</v>
      </c>
      <c r="W2" s="11" t="s">
        <v>41</v>
      </c>
      <c r="X2" s="11" t="s">
        <v>34</v>
      </c>
      <c r="Y2" s="11" t="s">
        <v>42</v>
      </c>
      <c r="Z2" s="14" t="s">
        <v>43</v>
      </c>
      <c r="AA2" s="10"/>
      <c r="AB2" s="10"/>
      <c r="AC2" s="10"/>
      <c r="AD2" s="10"/>
      <c r="AE2" s="10"/>
      <c r="AF2" s="10"/>
      <c r="AG2" s="10"/>
      <c r="AH2" s="10"/>
      <c r="AI2" s="10"/>
    </row>
    <row r="3">
      <c r="A3" s="10" t="s">
        <v>44</v>
      </c>
      <c r="B3" s="10" t="s">
        <v>28</v>
      </c>
      <c r="C3" s="11" t="s">
        <v>29</v>
      </c>
      <c r="D3" s="12" t="s">
        <v>45</v>
      </c>
      <c r="E3" s="13" t="s">
        <v>46</v>
      </c>
      <c r="F3" s="10" t="s">
        <v>47</v>
      </c>
      <c r="G3" s="10" t="s">
        <v>48</v>
      </c>
      <c r="H3" s="10" t="s">
        <v>49</v>
      </c>
      <c r="I3" s="11">
        <v>200.0</v>
      </c>
      <c r="J3" s="11" t="s">
        <v>34</v>
      </c>
      <c r="K3" s="11" t="s">
        <v>35</v>
      </c>
      <c r="L3" s="11">
        <v>200.0</v>
      </c>
      <c r="M3" s="11" t="s">
        <v>50</v>
      </c>
      <c r="N3" s="10"/>
      <c r="O3" s="11" t="s">
        <v>37</v>
      </c>
      <c r="P3" s="14" t="s">
        <v>37</v>
      </c>
      <c r="Q3" s="14" t="s">
        <v>37</v>
      </c>
      <c r="R3" s="14" t="s">
        <v>51</v>
      </c>
      <c r="S3" s="11" t="s">
        <v>38</v>
      </c>
      <c r="T3" s="14" t="s">
        <v>39</v>
      </c>
      <c r="U3" s="11" t="s">
        <v>52</v>
      </c>
      <c r="V3" s="11" t="s">
        <v>34</v>
      </c>
      <c r="W3" s="14" t="s">
        <v>53</v>
      </c>
      <c r="X3" s="11" t="s">
        <v>34</v>
      </c>
      <c r="Y3" s="11" t="s">
        <v>54</v>
      </c>
      <c r="Z3" s="14" t="s">
        <v>55</v>
      </c>
      <c r="AA3" s="10"/>
      <c r="AB3" s="10"/>
      <c r="AC3" s="10"/>
      <c r="AD3" s="10"/>
      <c r="AE3" s="10"/>
      <c r="AF3" s="10"/>
      <c r="AG3" s="10"/>
      <c r="AH3" s="10"/>
      <c r="AI3" s="10"/>
    </row>
    <row r="4">
      <c r="A4" s="10" t="s">
        <v>56</v>
      </c>
      <c r="B4" s="10" t="s">
        <v>28</v>
      </c>
      <c r="C4" s="15" t="s">
        <v>29</v>
      </c>
      <c r="D4" s="12" t="s">
        <v>57</v>
      </c>
      <c r="E4" s="13" t="s">
        <v>58</v>
      </c>
      <c r="F4" s="10" t="s">
        <v>59</v>
      </c>
      <c r="G4" s="10" t="s">
        <v>60</v>
      </c>
      <c r="H4" s="10" t="s">
        <v>61</v>
      </c>
      <c r="I4" s="11">
        <v>200.0</v>
      </c>
      <c r="J4" s="11" t="s">
        <v>34</v>
      </c>
      <c r="K4" s="11" t="s">
        <v>35</v>
      </c>
      <c r="L4" s="11">
        <v>200.0</v>
      </c>
      <c r="M4" s="11" t="s">
        <v>62</v>
      </c>
      <c r="N4" s="10"/>
      <c r="O4" s="11" t="s">
        <v>37</v>
      </c>
      <c r="P4" s="14" t="s">
        <v>37</v>
      </c>
      <c r="Q4" s="14" t="s">
        <v>37</v>
      </c>
      <c r="R4" s="11" t="s">
        <v>63</v>
      </c>
      <c r="S4" s="11" t="s">
        <v>34</v>
      </c>
      <c r="T4" s="14" t="s">
        <v>64</v>
      </c>
      <c r="U4" s="11" t="s">
        <v>40</v>
      </c>
      <c r="V4" s="11" t="s">
        <v>34</v>
      </c>
      <c r="W4" s="14" t="s">
        <v>53</v>
      </c>
      <c r="X4" s="11" t="s">
        <v>34</v>
      </c>
      <c r="Y4" s="11" t="s">
        <v>65</v>
      </c>
      <c r="Z4" s="14" t="s">
        <v>66</v>
      </c>
      <c r="AA4" s="10"/>
      <c r="AB4" s="10"/>
      <c r="AC4" s="10"/>
      <c r="AD4" s="10"/>
      <c r="AE4" s="10"/>
      <c r="AF4" s="10"/>
      <c r="AG4" s="10"/>
      <c r="AH4" s="10"/>
      <c r="AI4" s="10"/>
    </row>
    <row r="5">
      <c r="A5" s="10" t="s">
        <v>67</v>
      </c>
      <c r="B5" s="10" t="s">
        <v>28</v>
      </c>
      <c r="C5" s="11" t="s">
        <v>29</v>
      </c>
      <c r="D5" s="12" t="s">
        <v>68</v>
      </c>
      <c r="E5" s="13" t="s">
        <v>69</v>
      </c>
      <c r="F5" s="10" t="s">
        <v>70</v>
      </c>
      <c r="G5" s="10" t="s">
        <v>71</v>
      </c>
      <c r="H5" s="10" t="s">
        <v>72</v>
      </c>
      <c r="I5" s="11">
        <v>100.0</v>
      </c>
      <c r="J5" s="11" t="s">
        <v>34</v>
      </c>
      <c r="K5" s="11" t="s">
        <v>35</v>
      </c>
      <c r="L5" s="11">
        <v>100.0</v>
      </c>
      <c r="M5" s="11" t="s">
        <v>73</v>
      </c>
      <c r="N5" s="10"/>
      <c r="O5" s="14" t="s">
        <v>37</v>
      </c>
      <c r="P5" s="14" t="s">
        <v>37</v>
      </c>
      <c r="Q5" s="11" t="s">
        <v>74</v>
      </c>
      <c r="R5" s="10"/>
      <c r="S5" s="11" t="s">
        <v>38</v>
      </c>
      <c r="T5" s="14" t="s">
        <v>75</v>
      </c>
      <c r="U5" s="11" t="s">
        <v>40</v>
      </c>
      <c r="V5" s="11" t="s">
        <v>34</v>
      </c>
      <c r="W5" s="11" t="s">
        <v>76</v>
      </c>
      <c r="X5" s="11" t="s">
        <v>34</v>
      </c>
      <c r="Y5" s="11" t="s">
        <v>77</v>
      </c>
      <c r="Z5" s="11" t="s">
        <v>77</v>
      </c>
      <c r="AA5" s="10"/>
      <c r="AB5" s="10"/>
      <c r="AC5" s="10"/>
      <c r="AD5" s="10"/>
      <c r="AE5" s="10"/>
      <c r="AF5" s="10"/>
      <c r="AG5" s="10"/>
      <c r="AH5" s="10"/>
      <c r="AI5" s="10"/>
    </row>
    <row r="6">
      <c r="A6" s="10" t="s">
        <v>78</v>
      </c>
      <c r="B6" s="10" t="s">
        <v>28</v>
      </c>
      <c r="C6" s="15" t="s">
        <v>79</v>
      </c>
      <c r="D6" s="12" t="s">
        <v>80</v>
      </c>
      <c r="E6" s="13" t="s">
        <v>81</v>
      </c>
      <c r="F6" s="10" t="s">
        <v>82</v>
      </c>
      <c r="G6" s="10" t="s">
        <v>83</v>
      </c>
      <c r="H6" s="10" t="s">
        <v>84</v>
      </c>
      <c r="I6" s="11">
        <v>120.0</v>
      </c>
      <c r="J6" s="11" t="s">
        <v>34</v>
      </c>
      <c r="K6" s="11" t="s">
        <v>35</v>
      </c>
      <c r="L6" s="11">
        <v>120.0</v>
      </c>
      <c r="M6" s="11" t="s">
        <v>85</v>
      </c>
      <c r="N6" s="10"/>
      <c r="O6" s="11" t="s">
        <v>37</v>
      </c>
      <c r="P6" s="11" t="s">
        <v>37</v>
      </c>
      <c r="Q6" s="11" t="s">
        <v>37</v>
      </c>
      <c r="R6" s="11" t="s">
        <v>86</v>
      </c>
      <c r="S6" s="11" t="s">
        <v>38</v>
      </c>
      <c r="T6" s="14" t="s">
        <v>39</v>
      </c>
      <c r="U6" s="11" t="s">
        <v>87</v>
      </c>
      <c r="V6" s="11" t="s">
        <v>34</v>
      </c>
      <c r="W6" s="11" t="s">
        <v>88</v>
      </c>
      <c r="X6" s="11" t="s">
        <v>34</v>
      </c>
      <c r="Y6" s="11" t="s">
        <v>77</v>
      </c>
      <c r="Z6" s="11" t="s">
        <v>77</v>
      </c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10" t="s">
        <v>89</v>
      </c>
      <c r="B7" s="10" t="s">
        <v>28</v>
      </c>
      <c r="C7" s="10" t="s">
        <v>90</v>
      </c>
      <c r="D7" s="12" t="s">
        <v>91</v>
      </c>
      <c r="E7" s="13" t="s">
        <v>92</v>
      </c>
      <c r="F7" s="10" t="s">
        <v>93</v>
      </c>
      <c r="G7" s="10" t="s">
        <v>94</v>
      </c>
      <c r="H7" s="10" t="s">
        <v>95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>
      <c r="A8" s="10" t="s">
        <v>96</v>
      </c>
      <c r="B8" s="10" t="s">
        <v>28</v>
      </c>
      <c r="C8" s="10" t="s">
        <v>90</v>
      </c>
      <c r="D8" s="12" t="s">
        <v>97</v>
      </c>
      <c r="E8" s="13" t="s">
        <v>98</v>
      </c>
      <c r="F8" s="10" t="s">
        <v>99</v>
      </c>
      <c r="G8" s="10" t="s">
        <v>100</v>
      </c>
      <c r="H8" s="10" t="s">
        <v>101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>
      <c r="A9" s="10" t="s">
        <v>102</v>
      </c>
      <c r="B9" s="10" t="s">
        <v>28</v>
      </c>
      <c r="C9" s="10" t="s">
        <v>90</v>
      </c>
      <c r="D9" s="12"/>
      <c r="E9" s="16"/>
      <c r="F9" s="10" t="s">
        <v>103</v>
      </c>
      <c r="G9" s="10" t="s">
        <v>104</v>
      </c>
      <c r="H9" s="10" t="s">
        <v>105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>
      <c r="A10" s="10" t="s">
        <v>106</v>
      </c>
      <c r="B10" s="10" t="s">
        <v>28</v>
      </c>
      <c r="C10" s="10" t="s">
        <v>90</v>
      </c>
      <c r="D10" s="12" t="s">
        <v>107</v>
      </c>
      <c r="E10" s="13" t="s">
        <v>108</v>
      </c>
      <c r="F10" s="10"/>
      <c r="G10" s="10" t="s">
        <v>109</v>
      </c>
      <c r="H10" s="10" t="s">
        <v>110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>
      <c r="A11" s="10" t="s">
        <v>111</v>
      </c>
      <c r="B11" s="10" t="s">
        <v>28</v>
      </c>
      <c r="C11" s="15" t="s">
        <v>112</v>
      </c>
      <c r="D11" s="12" t="s">
        <v>113</v>
      </c>
      <c r="E11" s="13" t="s">
        <v>114</v>
      </c>
      <c r="F11" s="10" t="s">
        <v>115</v>
      </c>
      <c r="G11" s="10" t="s">
        <v>116</v>
      </c>
      <c r="H11" s="10" t="s">
        <v>117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>
      <c r="A12" s="10" t="s">
        <v>118</v>
      </c>
      <c r="B12" s="10" t="s">
        <v>28</v>
      </c>
      <c r="C12" s="15" t="s">
        <v>112</v>
      </c>
      <c r="D12" s="12" t="s">
        <v>119</v>
      </c>
      <c r="E12" s="13" t="s">
        <v>120</v>
      </c>
      <c r="F12" s="10" t="s">
        <v>121</v>
      </c>
      <c r="G12" s="10" t="s">
        <v>122</v>
      </c>
      <c r="H12" s="10" t="s">
        <v>123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>
      <c r="A13" s="10" t="s">
        <v>124</v>
      </c>
      <c r="B13" s="10" t="s">
        <v>28</v>
      </c>
      <c r="C13" s="15" t="s">
        <v>112</v>
      </c>
      <c r="D13" s="12" t="s">
        <v>125</v>
      </c>
      <c r="E13" s="13" t="s">
        <v>126</v>
      </c>
      <c r="F13" s="10" t="s">
        <v>127</v>
      </c>
      <c r="G13" s="10" t="s">
        <v>128</v>
      </c>
      <c r="H13" s="10" t="s">
        <v>129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>
      <c r="A14" s="10" t="s">
        <v>130</v>
      </c>
      <c r="B14" s="10" t="s">
        <v>28</v>
      </c>
      <c r="C14" s="15" t="s">
        <v>112</v>
      </c>
      <c r="D14" s="12" t="s">
        <v>131</v>
      </c>
      <c r="E14" s="13" t="s">
        <v>132</v>
      </c>
      <c r="F14" s="10" t="s">
        <v>133</v>
      </c>
      <c r="G14" s="10" t="s">
        <v>134</v>
      </c>
      <c r="H14" s="10" t="s">
        <v>135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>
      <c r="A15" s="10" t="s">
        <v>136</v>
      </c>
      <c r="B15" s="10" t="s">
        <v>28</v>
      </c>
      <c r="C15" s="15" t="s">
        <v>112</v>
      </c>
      <c r="D15" s="12" t="s">
        <v>137</v>
      </c>
      <c r="E15" s="13" t="s">
        <v>138</v>
      </c>
      <c r="F15" s="10" t="s">
        <v>139</v>
      </c>
      <c r="G15" s="10" t="s">
        <v>140</v>
      </c>
      <c r="H15" s="10" t="s">
        <v>72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>
      <c r="A16" s="10" t="s">
        <v>141</v>
      </c>
      <c r="B16" s="10" t="s">
        <v>28</v>
      </c>
      <c r="C16" s="15" t="s">
        <v>112</v>
      </c>
      <c r="D16" s="12" t="s">
        <v>142</v>
      </c>
      <c r="E16" s="13" t="s">
        <v>143</v>
      </c>
      <c r="F16" s="10" t="s">
        <v>144</v>
      </c>
      <c r="G16" s="10" t="s">
        <v>145</v>
      </c>
      <c r="H16" s="10" t="s">
        <v>61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>
      <c r="A17" s="10" t="s">
        <v>146</v>
      </c>
      <c r="B17" s="10" t="s">
        <v>28</v>
      </c>
      <c r="C17" s="15" t="s">
        <v>112</v>
      </c>
      <c r="D17" s="12" t="s">
        <v>147</v>
      </c>
      <c r="E17" s="13" t="s">
        <v>148</v>
      </c>
      <c r="F17" s="10" t="s">
        <v>149</v>
      </c>
      <c r="G17" s="10" t="s">
        <v>150</v>
      </c>
      <c r="H17" s="10" t="s">
        <v>84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>
      <c r="A18" s="10" t="s">
        <v>151</v>
      </c>
      <c r="B18" s="10" t="s">
        <v>28</v>
      </c>
      <c r="C18" s="15" t="s">
        <v>112</v>
      </c>
      <c r="D18" s="12" t="s">
        <v>152</v>
      </c>
      <c r="E18" s="13" t="s">
        <v>153</v>
      </c>
      <c r="F18" s="10" t="s">
        <v>154</v>
      </c>
      <c r="G18" s="10" t="s">
        <v>155</v>
      </c>
      <c r="H18" s="10" t="s">
        <v>156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>
      <c r="A19" s="10" t="s">
        <v>157</v>
      </c>
      <c r="B19" s="10" t="s">
        <v>28</v>
      </c>
      <c r="C19" s="15" t="s">
        <v>112</v>
      </c>
      <c r="D19" s="12" t="s">
        <v>158</v>
      </c>
      <c r="E19" s="13" t="s">
        <v>159</v>
      </c>
      <c r="F19" s="10" t="s">
        <v>160</v>
      </c>
      <c r="G19" s="10" t="s">
        <v>161</v>
      </c>
      <c r="H19" s="10" t="s">
        <v>162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>
      <c r="A20" s="10" t="s">
        <v>163</v>
      </c>
      <c r="B20" s="10" t="s">
        <v>28</v>
      </c>
      <c r="C20" s="15" t="s">
        <v>112</v>
      </c>
      <c r="D20" s="12" t="s">
        <v>164</v>
      </c>
      <c r="E20" s="13" t="s">
        <v>165</v>
      </c>
      <c r="F20" s="10" t="s">
        <v>166</v>
      </c>
      <c r="G20" s="10" t="s">
        <v>167</v>
      </c>
      <c r="H20" s="10" t="s">
        <v>168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>
      <c r="A21" s="11" t="s">
        <v>169</v>
      </c>
      <c r="B21" s="10" t="s">
        <v>28</v>
      </c>
      <c r="C21" s="15" t="s">
        <v>112</v>
      </c>
      <c r="D21" s="12" t="s">
        <v>170</v>
      </c>
      <c r="E21" s="13" t="s">
        <v>171</v>
      </c>
      <c r="F21" s="10" t="s">
        <v>172</v>
      </c>
      <c r="G21" s="10" t="s">
        <v>173</v>
      </c>
      <c r="H21" s="10" t="s">
        <v>174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>
      <c r="A22" s="10" t="s">
        <v>175</v>
      </c>
      <c r="B22" s="10" t="s">
        <v>28</v>
      </c>
      <c r="C22" s="11" t="s">
        <v>29</v>
      </c>
      <c r="D22" s="12" t="s">
        <v>176</v>
      </c>
      <c r="E22" s="13" t="s">
        <v>177</v>
      </c>
      <c r="F22" s="10" t="s">
        <v>178</v>
      </c>
      <c r="G22" s="10" t="s">
        <v>179</v>
      </c>
      <c r="H22" s="10" t="s">
        <v>180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>
      <c r="A23" s="10" t="s">
        <v>181</v>
      </c>
      <c r="B23" s="10" t="s">
        <v>28</v>
      </c>
      <c r="C23" s="11" t="s">
        <v>29</v>
      </c>
      <c r="D23" s="12" t="s">
        <v>182</v>
      </c>
      <c r="E23" s="13" t="s">
        <v>183</v>
      </c>
      <c r="F23" s="10" t="s">
        <v>184</v>
      </c>
      <c r="G23" s="10" t="s">
        <v>185</v>
      </c>
      <c r="H23" s="10" t="s">
        <v>186</v>
      </c>
      <c r="I23" s="11">
        <v>60.0</v>
      </c>
      <c r="J23" s="11" t="s">
        <v>34</v>
      </c>
      <c r="K23" s="11" t="s">
        <v>35</v>
      </c>
      <c r="L23" s="11">
        <v>60.0</v>
      </c>
      <c r="M23" s="11" t="s">
        <v>77</v>
      </c>
      <c r="N23" s="10"/>
      <c r="O23" s="11" t="s">
        <v>37</v>
      </c>
      <c r="P23" s="11" t="s">
        <v>37</v>
      </c>
      <c r="Q23" s="11" t="s">
        <v>37</v>
      </c>
      <c r="R23" s="11" t="s">
        <v>187</v>
      </c>
      <c r="S23" s="11" t="s">
        <v>38</v>
      </c>
      <c r="T23" s="14" t="s">
        <v>39</v>
      </c>
      <c r="U23" s="11" t="s">
        <v>188</v>
      </c>
      <c r="V23" s="11" t="s">
        <v>38</v>
      </c>
      <c r="W23" s="11" t="s">
        <v>41</v>
      </c>
      <c r="X23" s="11" t="s">
        <v>34</v>
      </c>
      <c r="Y23" s="11" t="s">
        <v>77</v>
      </c>
      <c r="Z23" s="14" t="s">
        <v>189</v>
      </c>
      <c r="AA23" s="10"/>
      <c r="AB23" s="10"/>
      <c r="AC23" s="10"/>
      <c r="AD23" s="10"/>
      <c r="AE23" s="10"/>
      <c r="AF23" s="10"/>
      <c r="AG23" s="10"/>
      <c r="AH23" s="10"/>
      <c r="AI23" s="10"/>
    </row>
    <row r="24">
      <c r="A24" s="10" t="s">
        <v>190</v>
      </c>
      <c r="B24" s="10" t="s">
        <v>28</v>
      </c>
      <c r="C24" s="11" t="s">
        <v>29</v>
      </c>
      <c r="D24" s="12" t="s">
        <v>191</v>
      </c>
      <c r="E24" s="13" t="s">
        <v>192</v>
      </c>
      <c r="F24" s="10" t="s">
        <v>193</v>
      </c>
      <c r="G24" s="10" t="s">
        <v>173</v>
      </c>
      <c r="H24" s="10" t="s">
        <v>174</v>
      </c>
      <c r="I24" s="11">
        <v>100.0</v>
      </c>
      <c r="J24" s="11" t="s">
        <v>34</v>
      </c>
      <c r="K24" s="11" t="s">
        <v>35</v>
      </c>
      <c r="L24" s="11">
        <v>100.0</v>
      </c>
      <c r="M24" s="11" t="s">
        <v>77</v>
      </c>
      <c r="N24" s="10"/>
      <c r="O24" s="11" t="s">
        <v>37</v>
      </c>
      <c r="P24" s="11" t="s">
        <v>37</v>
      </c>
      <c r="Q24" s="11" t="s">
        <v>37</v>
      </c>
      <c r="R24" s="11" t="s">
        <v>194</v>
      </c>
      <c r="S24" s="11" t="s">
        <v>38</v>
      </c>
      <c r="T24" s="14" t="s">
        <v>39</v>
      </c>
      <c r="U24" s="11" t="s">
        <v>195</v>
      </c>
      <c r="V24" s="11" t="s">
        <v>34</v>
      </c>
      <c r="W24" s="11" t="s">
        <v>41</v>
      </c>
      <c r="X24" s="11" t="s">
        <v>34</v>
      </c>
      <c r="Y24" s="11" t="s">
        <v>77</v>
      </c>
      <c r="Z24" s="14" t="s">
        <v>196</v>
      </c>
      <c r="AA24" s="10"/>
      <c r="AB24" s="10"/>
      <c r="AC24" s="10"/>
      <c r="AD24" s="10"/>
      <c r="AE24" s="10"/>
      <c r="AF24" s="10"/>
      <c r="AG24" s="10"/>
      <c r="AH24" s="10"/>
      <c r="AI24" s="10"/>
    </row>
    <row r="25">
      <c r="A25" s="10" t="s">
        <v>197</v>
      </c>
      <c r="B25" s="10" t="s">
        <v>28</v>
      </c>
      <c r="C25" s="11" t="s">
        <v>29</v>
      </c>
      <c r="D25" s="12"/>
      <c r="E25" s="13" t="s">
        <v>198</v>
      </c>
      <c r="F25" s="10" t="s">
        <v>199</v>
      </c>
      <c r="G25" s="10" t="s">
        <v>200</v>
      </c>
      <c r="H25" s="10" t="s">
        <v>201</v>
      </c>
      <c r="I25" s="11">
        <v>60.0</v>
      </c>
      <c r="J25" s="11" t="s">
        <v>34</v>
      </c>
      <c r="K25" s="11" t="s">
        <v>35</v>
      </c>
      <c r="L25" s="11">
        <v>60.0</v>
      </c>
      <c r="M25" s="11" t="s">
        <v>77</v>
      </c>
      <c r="N25" s="10"/>
      <c r="O25" s="11" t="s">
        <v>37</v>
      </c>
      <c r="P25" s="11" t="s">
        <v>37</v>
      </c>
      <c r="Q25" s="11" t="s">
        <v>37</v>
      </c>
      <c r="R25" s="11" t="s">
        <v>202</v>
      </c>
      <c r="S25" s="11" t="s">
        <v>34</v>
      </c>
      <c r="T25" s="14" t="s">
        <v>64</v>
      </c>
      <c r="U25" s="11" t="s">
        <v>203</v>
      </c>
      <c r="V25" s="11" t="s">
        <v>38</v>
      </c>
      <c r="W25" s="11" t="s">
        <v>88</v>
      </c>
      <c r="X25" s="11" t="s">
        <v>34</v>
      </c>
      <c r="Y25" s="11" t="s">
        <v>204</v>
      </c>
      <c r="Z25" s="14" t="s">
        <v>205</v>
      </c>
      <c r="AA25" s="10"/>
      <c r="AB25" s="10"/>
      <c r="AC25" s="10"/>
      <c r="AD25" s="10"/>
      <c r="AE25" s="10"/>
      <c r="AF25" s="10"/>
      <c r="AG25" s="10"/>
      <c r="AH25" s="10"/>
      <c r="AI25" s="10"/>
    </row>
    <row r="26">
      <c r="A26" s="10" t="s">
        <v>206</v>
      </c>
      <c r="B26" s="10" t="s">
        <v>28</v>
      </c>
      <c r="C26" s="11" t="s">
        <v>29</v>
      </c>
      <c r="D26" s="12"/>
      <c r="E26" s="13" t="s">
        <v>207</v>
      </c>
      <c r="F26" s="10"/>
      <c r="G26" s="10" t="s">
        <v>208</v>
      </c>
      <c r="H26" s="10" t="s">
        <v>209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>
      <c r="A27" s="10" t="s">
        <v>210</v>
      </c>
      <c r="B27" s="10" t="s">
        <v>28</v>
      </c>
      <c r="C27" s="15" t="s">
        <v>211</v>
      </c>
      <c r="D27" s="12"/>
      <c r="E27" s="13" t="s">
        <v>212</v>
      </c>
      <c r="F27" s="10" t="s">
        <v>213</v>
      </c>
      <c r="G27" s="10" t="s">
        <v>214</v>
      </c>
      <c r="H27" s="10" t="s">
        <v>215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>
      <c r="A28" s="10" t="s">
        <v>216</v>
      </c>
      <c r="B28" s="10" t="s">
        <v>28</v>
      </c>
      <c r="C28" s="15" t="s">
        <v>211</v>
      </c>
      <c r="D28" s="12" t="s">
        <v>217</v>
      </c>
      <c r="E28" s="13" t="s">
        <v>218</v>
      </c>
      <c r="F28" s="10" t="s">
        <v>219</v>
      </c>
      <c r="G28" s="10"/>
      <c r="H28" s="10" t="s">
        <v>220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>
      <c r="A29" s="10" t="s">
        <v>221</v>
      </c>
      <c r="B29" s="10" t="s">
        <v>28</v>
      </c>
      <c r="C29" s="15" t="s">
        <v>211</v>
      </c>
      <c r="D29" s="12"/>
      <c r="E29" s="13" t="s">
        <v>212</v>
      </c>
      <c r="F29" s="10" t="s">
        <v>222</v>
      </c>
      <c r="G29" s="10" t="s">
        <v>214</v>
      </c>
      <c r="H29" s="10" t="s">
        <v>223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>
      <c r="A30" s="10" t="s">
        <v>224</v>
      </c>
      <c r="B30" s="10" t="s">
        <v>28</v>
      </c>
      <c r="C30" s="15" t="s">
        <v>211</v>
      </c>
      <c r="D30" s="12"/>
      <c r="E30" s="13" t="s">
        <v>225</v>
      </c>
      <c r="F30" s="10" t="s">
        <v>226</v>
      </c>
      <c r="G30" s="10" t="s">
        <v>227</v>
      </c>
      <c r="H30" s="10" t="s">
        <v>228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>
      <c r="A31" s="10" t="s">
        <v>229</v>
      </c>
      <c r="B31" s="10" t="s">
        <v>28</v>
      </c>
      <c r="C31" s="15" t="s">
        <v>211</v>
      </c>
      <c r="D31" s="12"/>
      <c r="E31" s="13" t="s">
        <v>230</v>
      </c>
      <c r="F31" s="10" t="s">
        <v>226</v>
      </c>
      <c r="G31" s="10" t="s">
        <v>227</v>
      </c>
      <c r="H31" s="10" t="s">
        <v>231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>
      <c r="A32" s="10" t="s">
        <v>232</v>
      </c>
      <c r="B32" s="10" t="s">
        <v>28</v>
      </c>
      <c r="C32" s="15" t="s">
        <v>211</v>
      </c>
      <c r="D32" s="12"/>
      <c r="E32" s="13" t="s">
        <v>233</v>
      </c>
      <c r="F32" s="10" t="s">
        <v>226</v>
      </c>
      <c r="G32" s="10" t="s">
        <v>227</v>
      </c>
      <c r="H32" s="10" t="s">
        <v>234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>
      <c r="A33" s="10" t="s">
        <v>235</v>
      </c>
      <c r="B33" s="10" t="s">
        <v>28</v>
      </c>
      <c r="C33" s="15" t="s">
        <v>211</v>
      </c>
      <c r="D33" s="12"/>
      <c r="E33" s="13" t="s">
        <v>236</v>
      </c>
      <c r="F33" s="10"/>
      <c r="G33" s="10"/>
      <c r="H33" s="10" t="s">
        <v>234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>
      <c r="A34" s="10" t="s">
        <v>237</v>
      </c>
      <c r="B34" s="10" t="s">
        <v>28</v>
      </c>
      <c r="C34" s="15" t="s">
        <v>211</v>
      </c>
      <c r="D34" s="12"/>
      <c r="E34" s="13" t="s">
        <v>238</v>
      </c>
      <c r="F34" s="10"/>
      <c r="G34" s="10"/>
      <c r="H34" s="10" t="s">
        <v>239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>
      <c r="A35" s="10" t="s">
        <v>240</v>
      </c>
      <c r="B35" s="10" t="s">
        <v>28</v>
      </c>
      <c r="C35" s="15" t="s">
        <v>211</v>
      </c>
      <c r="D35" s="12"/>
      <c r="E35" s="13" t="s">
        <v>241</v>
      </c>
      <c r="F35" s="10" t="s">
        <v>242</v>
      </c>
      <c r="G35" s="10" t="s">
        <v>243</v>
      </c>
      <c r="H35" s="10" t="s">
        <v>244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>
      <c r="A36" s="10" t="s">
        <v>245</v>
      </c>
      <c r="B36" s="10" t="s">
        <v>28</v>
      </c>
      <c r="C36" s="15" t="s">
        <v>211</v>
      </c>
      <c r="D36" s="12"/>
      <c r="E36" s="13" t="s">
        <v>246</v>
      </c>
      <c r="F36" s="10" t="s">
        <v>247</v>
      </c>
      <c r="G36" s="10" t="s">
        <v>248</v>
      </c>
      <c r="H36" s="10" t="s">
        <v>209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>
      <c r="A37" s="10" t="s">
        <v>249</v>
      </c>
      <c r="B37" s="10" t="s">
        <v>28</v>
      </c>
      <c r="C37" s="10" t="s">
        <v>250</v>
      </c>
      <c r="D37" s="12"/>
      <c r="E37" s="13">
        <v>7310121.0</v>
      </c>
      <c r="F37" s="10" t="s">
        <v>251</v>
      </c>
      <c r="G37" s="10"/>
      <c r="H37" s="10" t="s">
        <v>252</v>
      </c>
      <c r="I37" s="10">
        <v>20.0</v>
      </c>
      <c r="J37" s="11" t="s">
        <v>38</v>
      </c>
      <c r="K37" s="10"/>
      <c r="L37" s="10"/>
      <c r="M37" s="10"/>
      <c r="N37" s="10"/>
      <c r="O37" s="11" t="s">
        <v>74</v>
      </c>
      <c r="P37" s="11" t="s">
        <v>74</v>
      </c>
      <c r="Q37" s="11" t="s">
        <v>74</v>
      </c>
      <c r="R37" s="10"/>
      <c r="S37" s="10"/>
      <c r="T37" s="10"/>
      <c r="U37" s="10"/>
      <c r="V37" s="11" t="s">
        <v>38</v>
      </c>
      <c r="W37" s="11" t="s">
        <v>88</v>
      </c>
      <c r="X37" s="11" t="s">
        <v>34</v>
      </c>
      <c r="Y37" s="10">
        <v>20.0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>
      <c r="A38" s="11" t="s">
        <v>253</v>
      </c>
      <c r="B38" s="10" t="s">
        <v>28</v>
      </c>
      <c r="C38" s="10" t="s">
        <v>250</v>
      </c>
      <c r="D38" s="12"/>
      <c r="E38" s="13" t="s">
        <v>254</v>
      </c>
      <c r="F38" s="10"/>
      <c r="G38" s="10"/>
      <c r="H38" s="10" t="s">
        <v>255</v>
      </c>
      <c r="I38" s="10">
        <v>100.0</v>
      </c>
      <c r="J38" s="11" t="s">
        <v>38</v>
      </c>
      <c r="K38" s="10"/>
      <c r="L38" s="10"/>
      <c r="M38" s="10"/>
      <c r="N38" s="10"/>
      <c r="O38" s="11" t="s">
        <v>74</v>
      </c>
      <c r="P38" s="11" t="s">
        <v>74</v>
      </c>
      <c r="Q38" s="11" t="s">
        <v>74</v>
      </c>
      <c r="R38" s="10"/>
      <c r="S38" s="10"/>
      <c r="T38" s="10"/>
      <c r="U38" s="10"/>
      <c r="V38" s="11" t="s">
        <v>38</v>
      </c>
      <c r="W38" s="11" t="s">
        <v>256</v>
      </c>
      <c r="X38" s="11" t="s">
        <v>34</v>
      </c>
      <c r="Y38" s="10">
        <v>40.0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>
      <c r="A39" s="10" t="s">
        <v>257</v>
      </c>
      <c r="B39" s="10" t="s">
        <v>28</v>
      </c>
      <c r="C39" s="10" t="s">
        <v>250</v>
      </c>
      <c r="D39" s="12"/>
      <c r="E39" s="13">
        <v>5.3009392E7</v>
      </c>
      <c r="F39" s="10" t="s">
        <v>258</v>
      </c>
      <c r="G39" s="10"/>
      <c r="H39" s="10" t="s">
        <v>259</v>
      </c>
      <c r="I39" s="10">
        <v>20.0</v>
      </c>
      <c r="J39" s="11" t="s">
        <v>38</v>
      </c>
      <c r="K39" s="10"/>
      <c r="L39" s="10"/>
      <c r="M39" s="10"/>
      <c r="N39" s="10"/>
      <c r="O39" s="11" t="s">
        <v>74</v>
      </c>
      <c r="P39" s="11" t="s">
        <v>74</v>
      </c>
      <c r="Q39" s="11" t="s">
        <v>74</v>
      </c>
      <c r="R39" s="10"/>
      <c r="S39" s="10"/>
      <c r="T39" s="10"/>
      <c r="U39" s="10"/>
      <c r="V39" s="11" t="s">
        <v>34</v>
      </c>
      <c r="W39" s="11" t="s">
        <v>260</v>
      </c>
      <c r="X39" s="11" t="s">
        <v>34</v>
      </c>
      <c r="Y39" s="10">
        <v>20.0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>
      <c r="A40" s="10" t="s">
        <v>261</v>
      </c>
      <c r="B40" s="10" t="s">
        <v>28</v>
      </c>
      <c r="C40" s="10" t="s">
        <v>262</v>
      </c>
      <c r="D40" s="12" t="s">
        <v>263</v>
      </c>
      <c r="E40" s="13" t="s">
        <v>264</v>
      </c>
      <c r="F40" s="10" t="s">
        <v>265</v>
      </c>
      <c r="G40" s="10" t="s">
        <v>266</v>
      </c>
      <c r="H40" s="10" t="s">
        <v>267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>
      <c r="A41" s="10" t="s">
        <v>268</v>
      </c>
      <c r="B41" s="10" t="s">
        <v>28</v>
      </c>
      <c r="C41" s="10" t="s">
        <v>262</v>
      </c>
      <c r="D41" s="12" t="s">
        <v>269</v>
      </c>
      <c r="E41" s="13" t="s">
        <v>270</v>
      </c>
      <c r="F41" s="10" t="s">
        <v>271</v>
      </c>
      <c r="G41" s="10" t="s">
        <v>272</v>
      </c>
      <c r="H41" s="10" t="s">
        <v>129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>
      <c r="A42" s="10" t="s">
        <v>273</v>
      </c>
      <c r="B42" s="10" t="s">
        <v>28</v>
      </c>
      <c r="C42" s="10" t="s">
        <v>262</v>
      </c>
      <c r="D42" s="12" t="s">
        <v>274</v>
      </c>
      <c r="E42" s="13" t="s">
        <v>275</v>
      </c>
      <c r="F42" s="10" t="s">
        <v>276</v>
      </c>
      <c r="G42" s="10" t="s">
        <v>277</v>
      </c>
      <c r="H42" s="10" t="s">
        <v>61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>
      <c r="A43" s="10" t="s">
        <v>278</v>
      </c>
      <c r="B43" s="10" t="s">
        <v>28</v>
      </c>
      <c r="C43" s="10" t="s">
        <v>262</v>
      </c>
      <c r="D43" s="12" t="s">
        <v>279</v>
      </c>
      <c r="E43" s="13" t="s">
        <v>280</v>
      </c>
      <c r="F43" s="10" t="s">
        <v>281</v>
      </c>
      <c r="G43" s="10" t="s">
        <v>282</v>
      </c>
      <c r="H43" s="10" t="s">
        <v>84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>
      <c r="A44" s="10" t="s">
        <v>283</v>
      </c>
      <c r="B44" s="10" t="s">
        <v>28</v>
      </c>
      <c r="C44" s="10" t="s">
        <v>262</v>
      </c>
      <c r="D44" s="12" t="s">
        <v>284</v>
      </c>
      <c r="E44" s="13" t="s">
        <v>46</v>
      </c>
      <c r="F44" s="10" t="s">
        <v>47</v>
      </c>
      <c r="G44" s="10" t="s">
        <v>48</v>
      </c>
      <c r="H44" s="10" t="s">
        <v>285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>
      <c r="A45" s="10" t="s">
        <v>286</v>
      </c>
      <c r="B45" s="10" t="s">
        <v>28</v>
      </c>
      <c r="C45" s="10" t="s">
        <v>262</v>
      </c>
      <c r="D45" s="12" t="s">
        <v>287</v>
      </c>
      <c r="E45" s="13" t="s">
        <v>30</v>
      </c>
      <c r="F45" s="10" t="s">
        <v>288</v>
      </c>
      <c r="G45" s="10" t="s">
        <v>32</v>
      </c>
      <c r="H45" s="10" t="s">
        <v>289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>
      <c r="A46" s="11" t="s">
        <v>290</v>
      </c>
      <c r="B46" s="11" t="s">
        <v>28</v>
      </c>
      <c r="C46" s="11" t="s">
        <v>29</v>
      </c>
      <c r="D46" s="17" t="s">
        <v>291</v>
      </c>
      <c r="E46" s="18">
        <v>5286598.0</v>
      </c>
      <c r="F46" s="14" t="s">
        <v>292</v>
      </c>
      <c r="G46" s="11" t="s">
        <v>293</v>
      </c>
      <c r="H46" s="19" t="s">
        <v>294</v>
      </c>
      <c r="I46" s="11">
        <v>208.0</v>
      </c>
      <c r="J46" s="11" t="s">
        <v>34</v>
      </c>
      <c r="K46" s="11" t="s">
        <v>35</v>
      </c>
      <c r="L46" s="11">
        <v>100.0</v>
      </c>
      <c r="M46" s="11" t="s">
        <v>295</v>
      </c>
      <c r="N46" s="11">
        <v>108.0</v>
      </c>
      <c r="O46" s="11" t="s">
        <v>37</v>
      </c>
      <c r="P46" s="11" t="s">
        <v>37</v>
      </c>
      <c r="Q46" s="11" t="s">
        <v>37</v>
      </c>
      <c r="R46" s="11" t="s">
        <v>296</v>
      </c>
      <c r="S46" s="11" t="s">
        <v>34</v>
      </c>
      <c r="T46" s="14" t="s">
        <v>39</v>
      </c>
      <c r="U46" s="11" t="s">
        <v>297</v>
      </c>
      <c r="V46" s="11" t="s">
        <v>34</v>
      </c>
      <c r="W46" s="11" t="s">
        <v>41</v>
      </c>
      <c r="X46" s="11" t="s">
        <v>34</v>
      </c>
      <c r="Y46" s="11" t="s">
        <v>298</v>
      </c>
      <c r="Z46" s="14" t="s">
        <v>299</v>
      </c>
      <c r="AA46" s="10"/>
      <c r="AB46" s="10"/>
      <c r="AC46" s="10"/>
      <c r="AD46" s="10"/>
      <c r="AE46" s="10"/>
      <c r="AF46" s="10"/>
      <c r="AG46" s="10"/>
      <c r="AH46" s="10"/>
      <c r="AI46" s="10"/>
    </row>
    <row r="47">
      <c r="A47" s="10" t="s">
        <v>300</v>
      </c>
      <c r="B47" s="10" t="s">
        <v>301</v>
      </c>
      <c r="C47" s="10" t="s">
        <v>29</v>
      </c>
      <c r="D47" s="12" t="s">
        <v>302</v>
      </c>
      <c r="E47" s="16" t="s">
        <v>303</v>
      </c>
      <c r="F47" s="10" t="s">
        <v>304</v>
      </c>
      <c r="G47" s="10" t="s">
        <v>305</v>
      </c>
      <c r="H47" s="10" t="s">
        <v>306</v>
      </c>
      <c r="I47" s="11">
        <v>200.0</v>
      </c>
      <c r="J47" s="11" t="s">
        <v>34</v>
      </c>
      <c r="K47" s="10"/>
      <c r="L47" s="11">
        <v>200.0</v>
      </c>
      <c r="M47" s="11" t="s">
        <v>307</v>
      </c>
      <c r="N47" s="10"/>
      <c r="O47" s="11" t="s">
        <v>37</v>
      </c>
      <c r="P47" s="11" t="s">
        <v>37</v>
      </c>
      <c r="Q47" s="11" t="s">
        <v>37</v>
      </c>
      <c r="R47" s="11" t="s">
        <v>308</v>
      </c>
      <c r="S47" s="10"/>
      <c r="T47" s="10"/>
      <c r="U47" s="10"/>
      <c r="V47" s="10"/>
      <c r="W47" s="10"/>
      <c r="X47" s="11" t="s">
        <v>34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>
      <c r="A48" s="10" t="s">
        <v>309</v>
      </c>
      <c r="B48" s="10" t="s">
        <v>301</v>
      </c>
      <c r="C48" s="10" t="s">
        <v>262</v>
      </c>
      <c r="D48" s="12" t="s">
        <v>310</v>
      </c>
      <c r="E48" s="16" t="s">
        <v>303</v>
      </c>
      <c r="F48" s="10" t="s">
        <v>304</v>
      </c>
      <c r="G48" s="10" t="s">
        <v>305</v>
      </c>
      <c r="H48" s="10" t="s">
        <v>306</v>
      </c>
      <c r="I48" s="11"/>
      <c r="J48" s="11"/>
      <c r="K48" s="10"/>
      <c r="L48" s="11"/>
      <c r="M48" s="11"/>
      <c r="N48" s="10"/>
      <c r="O48" s="11"/>
      <c r="P48" s="11"/>
      <c r="Q48" s="11"/>
      <c r="R48" s="11"/>
      <c r="S48" s="10"/>
      <c r="T48" s="10"/>
      <c r="U48" s="10"/>
      <c r="V48" s="10"/>
      <c r="W48" s="10"/>
      <c r="X48" s="11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>
      <c r="A49" s="10" t="s">
        <v>311</v>
      </c>
      <c r="B49" s="10" t="s">
        <v>301</v>
      </c>
      <c r="C49" s="10" t="s">
        <v>262</v>
      </c>
      <c r="D49" s="12"/>
      <c r="E49" s="16" t="s">
        <v>303</v>
      </c>
      <c r="F49" s="10" t="s">
        <v>304</v>
      </c>
      <c r="G49" s="10" t="s">
        <v>305</v>
      </c>
      <c r="H49" s="10" t="s">
        <v>312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>
      <c r="A50" s="10" t="s">
        <v>313</v>
      </c>
      <c r="B50" s="10" t="s">
        <v>301</v>
      </c>
      <c r="C50" s="10" t="s">
        <v>262</v>
      </c>
      <c r="D50" s="12"/>
      <c r="E50" s="16" t="s">
        <v>303</v>
      </c>
      <c r="F50" s="10" t="s">
        <v>304</v>
      </c>
      <c r="G50" s="10" t="s">
        <v>305</v>
      </c>
      <c r="H50" s="10" t="s">
        <v>314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>
      <c r="A51" s="10" t="s">
        <v>315</v>
      </c>
      <c r="B51" s="10" t="s">
        <v>301</v>
      </c>
      <c r="C51" s="15" t="s">
        <v>112</v>
      </c>
      <c r="D51" s="17" t="s">
        <v>316</v>
      </c>
      <c r="E51" s="16" t="s">
        <v>317</v>
      </c>
      <c r="F51" s="10" t="s">
        <v>318</v>
      </c>
      <c r="G51" s="10" t="s">
        <v>319</v>
      </c>
      <c r="H51" s="10" t="s">
        <v>320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>
      <c r="A52" s="10" t="s">
        <v>321</v>
      </c>
      <c r="B52" s="10" t="s">
        <v>301</v>
      </c>
      <c r="C52" s="15" t="s">
        <v>112</v>
      </c>
      <c r="D52" s="12"/>
      <c r="E52" s="16" t="s">
        <v>322</v>
      </c>
      <c r="F52" s="10" t="s">
        <v>323</v>
      </c>
      <c r="G52" s="10" t="s">
        <v>324</v>
      </c>
      <c r="H52" s="10" t="s">
        <v>325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>
      <c r="A53" s="10" t="s">
        <v>326</v>
      </c>
      <c r="B53" s="10" t="s">
        <v>301</v>
      </c>
      <c r="C53" s="15" t="s">
        <v>112</v>
      </c>
      <c r="D53" s="12"/>
      <c r="E53" s="16" t="s">
        <v>327</v>
      </c>
      <c r="F53" s="10" t="s">
        <v>328</v>
      </c>
      <c r="G53" s="10" t="s">
        <v>329</v>
      </c>
      <c r="H53" s="10" t="s">
        <v>330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>
      <c r="A54" s="10" t="s">
        <v>331</v>
      </c>
      <c r="B54" s="10" t="s">
        <v>301</v>
      </c>
      <c r="C54" s="10" t="s">
        <v>332</v>
      </c>
      <c r="D54" s="12"/>
      <c r="E54" s="16" t="s">
        <v>303</v>
      </c>
      <c r="F54" s="10" t="s">
        <v>304</v>
      </c>
      <c r="G54" s="10" t="s">
        <v>305</v>
      </c>
      <c r="H54" s="10" t="s">
        <v>333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>
      <c r="A55" s="10" t="s">
        <v>334</v>
      </c>
      <c r="B55" s="10" t="s">
        <v>335</v>
      </c>
      <c r="C55" s="15" t="s">
        <v>112</v>
      </c>
      <c r="D55" s="12"/>
      <c r="E55" s="16" t="s">
        <v>336</v>
      </c>
      <c r="F55" s="10" t="s">
        <v>337</v>
      </c>
      <c r="G55" s="10" t="s">
        <v>338</v>
      </c>
      <c r="H55" s="10" t="s">
        <v>339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>
      <c r="A56" s="10" t="s">
        <v>340</v>
      </c>
      <c r="B56" s="10" t="s">
        <v>335</v>
      </c>
      <c r="C56" s="15" t="s">
        <v>112</v>
      </c>
      <c r="D56" s="12"/>
      <c r="E56" s="16" t="s">
        <v>341</v>
      </c>
      <c r="F56" s="10" t="s">
        <v>342</v>
      </c>
      <c r="G56" s="10" t="s">
        <v>343</v>
      </c>
      <c r="H56" s="10" t="s">
        <v>344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>
      <c r="A57" s="10" t="s">
        <v>345</v>
      </c>
      <c r="B57" s="10" t="s">
        <v>335</v>
      </c>
      <c r="C57" s="15" t="s">
        <v>112</v>
      </c>
      <c r="D57" s="12"/>
      <c r="E57" s="16" t="s">
        <v>346</v>
      </c>
      <c r="F57" s="10" t="s">
        <v>347</v>
      </c>
      <c r="G57" s="10" t="s">
        <v>348</v>
      </c>
      <c r="H57" s="10" t="s">
        <v>349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>
      <c r="A58" s="10" t="s">
        <v>350</v>
      </c>
      <c r="B58" s="10" t="s">
        <v>335</v>
      </c>
      <c r="C58" s="15" t="s">
        <v>112</v>
      </c>
      <c r="D58" s="12"/>
      <c r="E58" s="16" t="s">
        <v>351</v>
      </c>
      <c r="F58" s="10" t="s">
        <v>352</v>
      </c>
      <c r="G58" s="10" t="s">
        <v>353</v>
      </c>
      <c r="H58" s="10" t="s">
        <v>354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>
      <c r="A59" s="10" t="s">
        <v>355</v>
      </c>
      <c r="B59" s="10" t="s">
        <v>335</v>
      </c>
      <c r="C59" s="15" t="s">
        <v>112</v>
      </c>
      <c r="D59" s="12"/>
      <c r="E59" s="16" t="s">
        <v>356</v>
      </c>
      <c r="F59" s="10" t="s">
        <v>357</v>
      </c>
      <c r="G59" s="10" t="s">
        <v>358</v>
      </c>
      <c r="H59" s="10" t="s">
        <v>359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>
      <c r="A60" s="10" t="s">
        <v>360</v>
      </c>
      <c r="B60" s="10" t="s">
        <v>335</v>
      </c>
      <c r="C60" s="11" t="s">
        <v>29</v>
      </c>
      <c r="D60" s="12"/>
      <c r="E60" s="16" t="s">
        <v>361</v>
      </c>
      <c r="F60" s="10" t="s">
        <v>362</v>
      </c>
      <c r="G60" s="10" t="s">
        <v>363</v>
      </c>
      <c r="H60" s="10"/>
      <c r="I60" s="11">
        <v>100.0</v>
      </c>
      <c r="J60" s="11" t="s">
        <v>34</v>
      </c>
      <c r="K60" s="11"/>
      <c r="L60" s="11">
        <v>100.0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>
      <c r="A61" s="10" t="s">
        <v>364</v>
      </c>
      <c r="B61" s="10" t="s">
        <v>335</v>
      </c>
      <c r="C61" s="15" t="s">
        <v>29</v>
      </c>
      <c r="D61" s="12"/>
      <c r="E61" s="16" t="s">
        <v>365</v>
      </c>
      <c r="F61" s="10" t="s">
        <v>366</v>
      </c>
      <c r="G61" s="10" t="s">
        <v>367</v>
      </c>
      <c r="H61" s="10"/>
      <c r="I61" s="10"/>
      <c r="J61" s="11" t="s">
        <v>34</v>
      </c>
      <c r="K61" s="10"/>
      <c r="L61" s="10"/>
      <c r="M61" s="10"/>
      <c r="N61" s="10"/>
      <c r="O61" s="11" t="s">
        <v>37</v>
      </c>
      <c r="P61" s="11" t="s">
        <v>37</v>
      </c>
      <c r="Q61" s="10"/>
      <c r="R61" s="10"/>
      <c r="S61" s="10"/>
      <c r="T61" s="10"/>
      <c r="U61" s="10"/>
      <c r="V61" s="10"/>
      <c r="W61" s="10"/>
      <c r="X61" s="11" t="s">
        <v>34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>
      <c r="A62" s="10" t="s">
        <v>368</v>
      </c>
      <c r="B62" s="10" t="s">
        <v>335</v>
      </c>
      <c r="C62" s="10" t="s">
        <v>262</v>
      </c>
      <c r="D62" s="12"/>
      <c r="E62" s="16" t="s">
        <v>369</v>
      </c>
      <c r="F62" s="10" t="s">
        <v>370</v>
      </c>
      <c r="G62" s="10" t="s">
        <v>371</v>
      </c>
      <c r="H62" s="10" t="s">
        <v>372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>
      <c r="A63" s="10" t="s">
        <v>373</v>
      </c>
      <c r="B63" s="10" t="s">
        <v>335</v>
      </c>
      <c r="C63" s="10" t="s">
        <v>262</v>
      </c>
      <c r="D63" s="12"/>
      <c r="E63" s="16" t="s">
        <v>374</v>
      </c>
      <c r="F63" s="10" t="s">
        <v>375</v>
      </c>
      <c r="G63" s="10" t="s">
        <v>376</v>
      </c>
      <c r="H63" s="10" t="s">
        <v>377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>
      <c r="A64" s="10" t="s">
        <v>378</v>
      </c>
      <c r="B64" s="10" t="s">
        <v>335</v>
      </c>
      <c r="C64" s="10" t="s">
        <v>262</v>
      </c>
      <c r="D64" s="12"/>
      <c r="E64" s="16" t="s">
        <v>379</v>
      </c>
      <c r="F64" s="10" t="s">
        <v>380</v>
      </c>
      <c r="G64" s="10"/>
      <c r="H64" s="10" t="s">
        <v>381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>
      <c r="A65" s="10" t="s">
        <v>382</v>
      </c>
      <c r="B65" s="10" t="s">
        <v>335</v>
      </c>
      <c r="C65" s="15" t="s">
        <v>211</v>
      </c>
      <c r="D65" s="12"/>
      <c r="E65" s="16" t="s">
        <v>383</v>
      </c>
      <c r="F65" s="10" t="s">
        <v>384</v>
      </c>
      <c r="G65" s="10" t="s">
        <v>385</v>
      </c>
      <c r="H65" s="10" t="s">
        <v>386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>
      <c r="A66" s="10" t="s">
        <v>387</v>
      </c>
      <c r="B66" s="10" t="s">
        <v>335</v>
      </c>
      <c r="C66" s="11" t="s">
        <v>388</v>
      </c>
      <c r="D66" s="17" t="s">
        <v>389</v>
      </c>
      <c r="E66" s="16">
        <v>5.6690174E7</v>
      </c>
      <c r="F66" s="10" t="s">
        <v>390</v>
      </c>
      <c r="G66" s="10" t="s">
        <v>391</v>
      </c>
      <c r="H66" s="10" t="s">
        <v>392</v>
      </c>
      <c r="I66" s="11">
        <v>15.0</v>
      </c>
      <c r="J66" s="11" t="s">
        <v>34</v>
      </c>
      <c r="K66" s="10"/>
      <c r="L66" s="11">
        <v>15.0</v>
      </c>
      <c r="M66" s="10"/>
      <c r="N66" s="10"/>
      <c r="O66" s="11" t="s">
        <v>74</v>
      </c>
      <c r="P66" s="11" t="s">
        <v>74</v>
      </c>
      <c r="Q66" s="11" t="s">
        <v>74</v>
      </c>
      <c r="R66" s="10"/>
      <c r="S66" s="10"/>
      <c r="T66" s="10"/>
      <c r="U66" s="10"/>
      <c r="V66" s="11" t="s">
        <v>34</v>
      </c>
      <c r="W66" s="11" t="s">
        <v>41</v>
      </c>
      <c r="X66" s="11" t="s">
        <v>34</v>
      </c>
      <c r="Y66" s="11" t="s">
        <v>54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>
      <c r="A67" s="10" t="s">
        <v>393</v>
      </c>
      <c r="B67" s="10" t="s">
        <v>335</v>
      </c>
      <c r="C67" s="11" t="s">
        <v>388</v>
      </c>
      <c r="D67" s="17" t="s">
        <v>394</v>
      </c>
      <c r="E67" s="16" t="s">
        <v>395</v>
      </c>
      <c r="F67" s="10" t="s">
        <v>396</v>
      </c>
      <c r="G67" s="10"/>
      <c r="H67" s="10" t="s">
        <v>397</v>
      </c>
      <c r="I67" s="11">
        <v>88.0</v>
      </c>
      <c r="J67" s="11" t="s">
        <v>34</v>
      </c>
      <c r="K67" s="10"/>
      <c r="L67" s="11">
        <v>88.0</v>
      </c>
      <c r="M67" s="10"/>
      <c r="N67" s="10"/>
      <c r="O67" s="11" t="s">
        <v>37</v>
      </c>
      <c r="P67" s="11" t="s">
        <v>74</v>
      </c>
      <c r="Q67" s="11" t="s">
        <v>74</v>
      </c>
      <c r="R67" s="10"/>
      <c r="S67" s="10"/>
      <c r="T67" s="10"/>
      <c r="U67" s="10"/>
      <c r="V67" s="11" t="s">
        <v>38</v>
      </c>
      <c r="W67" s="11" t="s">
        <v>77</v>
      </c>
      <c r="X67" s="11" t="s">
        <v>34</v>
      </c>
      <c r="Y67" s="11" t="s">
        <v>204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>
      <c r="A68" s="10" t="s">
        <v>398</v>
      </c>
      <c r="B68" s="10" t="s">
        <v>399</v>
      </c>
      <c r="C68" s="15" t="s">
        <v>400</v>
      </c>
      <c r="D68" s="12" t="s">
        <v>401</v>
      </c>
      <c r="E68" s="16" t="s">
        <v>402</v>
      </c>
      <c r="F68" s="10" t="s">
        <v>403</v>
      </c>
      <c r="G68" s="10" t="s">
        <v>404</v>
      </c>
      <c r="H68" s="10" t="s">
        <v>405</v>
      </c>
      <c r="I68" s="10"/>
      <c r="J68" s="11" t="s">
        <v>34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>
      <c r="A69" s="10" t="s">
        <v>406</v>
      </c>
      <c r="B69" s="10" t="s">
        <v>399</v>
      </c>
      <c r="C69" s="11" t="s">
        <v>388</v>
      </c>
      <c r="D69" s="12" t="s">
        <v>407</v>
      </c>
      <c r="E69" s="16" t="s">
        <v>408</v>
      </c>
      <c r="F69" s="10" t="s">
        <v>409</v>
      </c>
      <c r="G69" s="10" t="s">
        <v>410</v>
      </c>
      <c r="H69" s="10" t="s">
        <v>411</v>
      </c>
      <c r="I69" s="10"/>
      <c r="J69" s="11" t="s">
        <v>34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 t="s">
        <v>412</v>
      </c>
      <c r="X69" s="10" t="s">
        <v>413</v>
      </c>
      <c r="Y69" s="10" t="s">
        <v>414</v>
      </c>
      <c r="Z69" s="10" t="s">
        <v>415</v>
      </c>
      <c r="AA69" s="10"/>
      <c r="AB69" s="10"/>
      <c r="AC69" s="10"/>
      <c r="AD69" s="10"/>
      <c r="AE69" s="10"/>
      <c r="AF69" s="10"/>
      <c r="AG69" s="10"/>
      <c r="AH69" s="10"/>
      <c r="AI69" s="10"/>
    </row>
    <row r="70">
      <c r="A70" s="10" t="s">
        <v>416</v>
      </c>
      <c r="B70" s="10" t="s">
        <v>399</v>
      </c>
      <c r="C70" s="10" t="s">
        <v>250</v>
      </c>
      <c r="D70" s="12" t="s">
        <v>407</v>
      </c>
      <c r="E70" s="16" t="s">
        <v>408</v>
      </c>
      <c r="F70" s="10" t="s">
        <v>409</v>
      </c>
      <c r="G70" s="10" t="s">
        <v>410</v>
      </c>
      <c r="H70" s="10" t="s">
        <v>411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 t="s">
        <v>414</v>
      </c>
      <c r="Z70" s="10" t="s">
        <v>415</v>
      </c>
      <c r="AA70" s="10"/>
      <c r="AB70" s="10"/>
      <c r="AC70" s="10"/>
      <c r="AD70" s="10"/>
      <c r="AE70" s="10"/>
      <c r="AF70" s="10"/>
      <c r="AG70" s="10"/>
      <c r="AH70" s="10"/>
      <c r="AI70" s="10"/>
    </row>
    <row r="71">
      <c r="A71" s="10" t="s">
        <v>417</v>
      </c>
      <c r="B71" s="10" t="s">
        <v>399</v>
      </c>
      <c r="C71" s="10" t="s">
        <v>262</v>
      </c>
      <c r="D71" s="12" t="s">
        <v>418</v>
      </c>
      <c r="E71" s="16" t="s">
        <v>419</v>
      </c>
      <c r="F71" s="10" t="s">
        <v>420</v>
      </c>
      <c r="G71" s="10" t="s">
        <v>421</v>
      </c>
      <c r="H71" s="10" t="s">
        <v>422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>
      <c r="A72" s="10" t="s">
        <v>423</v>
      </c>
      <c r="B72" s="10" t="s">
        <v>399</v>
      </c>
      <c r="C72" s="10" t="s">
        <v>262</v>
      </c>
      <c r="D72" s="12" t="s">
        <v>424</v>
      </c>
      <c r="E72" s="16" t="s">
        <v>425</v>
      </c>
      <c r="F72" s="10" t="s">
        <v>426</v>
      </c>
      <c r="G72" s="10" t="s">
        <v>427</v>
      </c>
      <c r="H72" s="10" t="s">
        <v>428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>
      <c r="A73" s="10" t="s">
        <v>429</v>
      </c>
      <c r="B73" s="10" t="s">
        <v>399</v>
      </c>
      <c r="C73" s="10" t="s">
        <v>262</v>
      </c>
      <c r="D73" s="12" t="s">
        <v>430</v>
      </c>
      <c r="E73" s="16" t="s">
        <v>431</v>
      </c>
      <c r="F73" s="10" t="s">
        <v>432</v>
      </c>
      <c r="G73" s="10" t="s">
        <v>433</v>
      </c>
      <c r="H73" s="10" t="s">
        <v>434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>
      <c r="A74" s="10" t="s">
        <v>435</v>
      </c>
      <c r="B74" s="10" t="s">
        <v>399</v>
      </c>
      <c r="C74" s="15" t="s">
        <v>29</v>
      </c>
      <c r="D74" s="12" t="s">
        <v>436</v>
      </c>
      <c r="E74" s="16" t="s">
        <v>437</v>
      </c>
      <c r="F74" s="10" t="s">
        <v>438</v>
      </c>
      <c r="G74" s="10" t="s">
        <v>439</v>
      </c>
      <c r="H74" s="10" t="s">
        <v>440</v>
      </c>
      <c r="I74" s="10"/>
      <c r="J74" s="11" t="s">
        <v>34</v>
      </c>
      <c r="K74" s="10"/>
      <c r="L74" s="10" t="s">
        <v>441</v>
      </c>
      <c r="M74" s="10" t="s">
        <v>442</v>
      </c>
      <c r="N74" s="10" t="s">
        <v>443</v>
      </c>
      <c r="O74" s="10" t="s">
        <v>412</v>
      </c>
      <c r="P74" s="10" t="s">
        <v>412</v>
      </c>
      <c r="Q74" s="10" t="s">
        <v>412</v>
      </c>
      <c r="R74" s="10"/>
      <c r="S74" s="10"/>
      <c r="T74" s="10"/>
      <c r="U74" s="10"/>
      <c r="V74" s="10"/>
      <c r="W74" s="10" t="s">
        <v>413</v>
      </c>
      <c r="X74" s="10" t="s">
        <v>413</v>
      </c>
      <c r="Y74" s="10" t="s">
        <v>444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>
      <c r="A75" s="10" t="s">
        <v>445</v>
      </c>
      <c r="B75" s="10" t="s">
        <v>399</v>
      </c>
      <c r="C75" s="11" t="s">
        <v>29</v>
      </c>
      <c r="D75" s="12" t="s">
        <v>436</v>
      </c>
      <c r="E75" s="16" t="s">
        <v>446</v>
      </c>
      <c r="F75" s="10" t="s">
        <v>447</v>
      </c>
      <c r="G75" s="10" t="s">
        <v>448</v>
      </c>
      <c r="H75" s="10" t="s">
        <v>449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>
      <c r="A76" s="10" t="s">
        <v>450</v>
      </c>
      <c r="B76" s="10" t="s">
        <v>399</v>
      </c>
      <c r="C76" s="15" t="s">
        <v>29</v>
      </c>
      <c r="D76" s="12" t="s">
        <v>436</v>
      </c>
      <c r="E76" s="16" t="s">
        <v>451</v>
      </c>
      <c r="F76" s="10" t="s">
        <v>452</v>
      </c>
      <c r="G76" s="10" t="s">
        <v>453</v>
      </c>
      <c r="H76" s="10" t="s">
        <v>454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>
      <c r="A77" s="10" t="s">
        <v>455</v>
      </c>
      <c r="B77" s="10" t="s">
        <v>399</v>
      </c>
      <c r="C77" s="11" t="s">
        <v>112</v>
      </c>
      <c r="D77" s="12" t="s">
        <v>456</v>
      </c>
      <c r="E77" s="16" t="s">
        <v>457</v>
      </c>
      <c r="F77" s="10" t="s">
        <v>458</v>
      </c>
      <c r="G77" s="10" t="s">
        <v>459</v>
      </c>
      <c r="H77" s="10" t="s">
        <v>460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 t="s">
        <v>461</v>
      </c>
      <c r="X77" s="10" t="s">
        <v>412</v>
      </c>
      <c r="Y77" s="10" t="s">
        <v>412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>
      <c r="A78" s="10" t="s">
        <v>462</v>
      </c>
      <c r="B78" s="10" t="s">
        <v>399</v>
      </c>
      <c r="C78" s="11" t="s">
        <v>112</v>
      </c>
      <c r="D78" s="12" t="s">
        <v>463</v>
      </c>
      <c r="E78" s="16" t="s">
        <v>464</v>
      </c>
      <c r="F78" s="10" t="s">
        <v>465</v>
      </c>
      <c r="G78" s="10"/>
      <c r="H78" s="10" t="s">
        <v>466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 t="s">
        <v>461</v>
      </c>
      <c r="X78" s="10" t="s">
        <v>412</v>
      </c>
      <c r="Y78" s="10" t="s">
        <v>412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>
      <c r="A79" s="10" t="s">
        <v>467</v>
      </c>
      <c r="B79" s="10" t="s">
        <v>399</v>
      </c>
      <c r="C79" s="11" t="s">
        <v>112</v>
      </c>
      <c r="D79" s="12" t="s">
        <v>463</v>
      </c>
      <c r="E79" s="16" t="s">
        <v>468</v>
      </c>
      <c r="F79" s="10" t="s">
        <v>469</v>
      </c>
      <c r="G79" s="10"/>
      <c r="H79" s="10" t="s">
        <v>449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 t="s">
        <v>461</v>
      </c>
      <c r="X79" s="10" t="s">
        <v>412</v>
      </c>
      <c r="Y79" s="10" t="s">
        <v>412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>
      <c r="A80" s="10" t="s">
        <v>470</v>
      </c>
      <c r="B80" s="10" t="s">
        <v>399</v>
      </c>
      <c r="C80" s="11" t="s">
        <v>112</v>
      </c>
      <c r="D80" s="12" t="s">
        <v>463</v>
      </c>
      <c r="E80" s="16" t="s">
        <v>471</v>
      </c>
      <c r="F80" s="10" t="s">
        <v>472</v>
      </c>
      <c r="G80" s="10"/>
      <c r="H80" s="10" t="s">
        <v>473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 t="s">
        <v>461</v>
      </c>
      <c r="X80" s="10" t="s">
        <v>412</v>
      </c>
      <c r="Y80" s="10" t="s">
        <v>412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8.75" customHeight="1">
      <c r="A81" s="10" t="s">
        <v>474</v>
      </c>
      <c r="B81" s="10" t="s">
        <v>399</v>
      </c>
      <c r="C81" s="11" t="s">
        <v>112</v>
      </c>
      <c r="D81" s="12" t="s">
        <v>475</v>
      </c>
      <c r="E81" s="16" t="s">
        <v>476</v>
      </c>
      <c r="F81" s="10" t="s">
        <v>477</v>
      </c>
      <c r="G81" s="10"/>
      <c r="H81" s="10" t="s">
        <v>428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6.5" customHeight="1">
      <c r="A82" s="10" t="s">
        <v>478</v>
      </c>
      <c r="B82" s="10" t="s">
        <v>399</v>
      </c>
      <c r="C82" s="11" t="s">
        <v>388</v>
      </c>
      <c r="D82" s="12" t="s">
        <v>479</v>
      </c>
      <c r="E82" s="16" t="s">
        <v>480</v>
      </c>
      <c r="F82" s="10" t="s">
        <v>481</v>
      </c>
      <c r="G82" s="10" t="s">
        <v>482</v>
      </c>
      <c r="H82" s="10" t="s">
        <v>483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27.0" customHeight="1">
      <c r="A83" s="10" t="s">
        <v>484</v>
      </c>
      <c r="B83" s="10" t="s">
        <v>399</v>
      </c>
      <c r="C83" s="10" t="s">
        <v>250</v>
      </c>
      <c r="D83" s="12" t="s">
        <v>485</v>
      </c>
      <c r="E83" s="16" t="s">
        <v>480</v>
      </c>
      <c r="F83" s="10" t="s">
        <v>481</v>
      </c>
      <c r="G83" s="10" t="s">
        <v>482</v>
      </c>
      <c r="H83" s="10" t="s">
        <v>486</v>
      </c>
      <c r="I83" s="10"/>
      <c r="J83" s="11" t="s">
        <v>34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27.75" customHeight="1">
      <c r="A84" s="10" t="s">
        <v>487</v>
      </c>
      <c r="B84" s="10" t="s">
        <v>399</v>
      </c>
      <c r="C84" s="11" t="s">
        <v>388</v>
      </c>
      <c r="D84" s="12" t="s">
        <v>488</v>
      </c>
      <c r="E84" s="16" t="s">
        <v>489</v>
      </c>
      <c r="F84" s="10" t="s">
        <v>490</v>
      </c>
      <c r="G84" s="10" t="s">
        <v>491</v>
      </c>
      <c r="H84" s="10" t="s">
        <v>492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 t="s">
        <v>412</v>
      </c>
      <c r="Y84" s="10" t="s">
        <v>412</v>
      </c>
      <c r="Z84" s="10" t="s">
        <v>415</v>
      </c>
      <c r="AA84" s="10"/>
      <c r="AB84" s="10"/>
      <c r="AC84" s="10"/>
      <c r="AD84" s="10"/>
      <c r="AE84" s="10"/>
      <c r="AF84" s="10"/>
      <c r="AG84" s="10"/>
      <c r="AH84" s="10"/>
      <c r="AI84" s="10"/>
    </row>
    <row r="85" ht="27.75" customHeight="1">
      <c r="A85" s="10" t="s">
        <v>493</v>
      </c>
      <c r="B85" s="10" t="s">
        <v>399</v>
      </c>
      <c r="C85" s="10" t="s">
        <v>250</v>
      </c>
      <c r="D85" s="12" t="s">
        <v>488</v>
      </c>
      <c r="E85" s="16" t="s">
        <v>489</v>
      </c>
      <c r="F85" s="10" t="s">
        <v>490</v>
      </c>
      <c r="G85" s="10" t="s">
        <v>491</v>
      </c>
      <c r="H85" s="10" t="s">
        <v>492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 t="s">
        <v>412</v>
      </c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20.25" customHeight="1">
      <c r="A86" s="10" t="s">
        <v>494</v>
      </c>
      <c r="B86" s="10" t="s">
        <v>399</v>
      </c>
      <c r="C86" s="11" t="s">
        <v>388</v>
      </c>
      <c r="D86" s="12" t="s">
        <v>495</v>
      </c>
      <c r="E86" s="16" t="s">
        <v>496</v>
      </c>
      <c r="F86" s="10"/>
      <c r="G86" s="10" t="s">
        <v>497</v>
      </c>
      <c r="H86" s="10" t="s">
        <v>498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 t="s">
        <v>415</v>
      </c>
      <c r="AA86" s="10"/>
      <c r="AB86" s="10"/>
      <c r="AC86" s="10"/>
      <c r="AD86" s="10"/>
      <c r="AE86" s="10"/>
      <c r="AF86" s="10"/>
      <c r="AG86" s="10"/>
      <c r="AH86" s="10"/>
      <c r="AI86" s="10"/>
    </row>
    <row r="87" ht="18.75" customHeight="1">
      <c r="A87" s="10" t="s">
        <v>494</v>
      </c>
      <c r="B87" s="10" t="s">
        <v>399</v>
      </c>
      <c r="C87" s="10" t="s">
        <v>250</v>
      </c>
      <c r="D87" s="12" t="s">
        <v>495</v>
      </c>
      <c r="E87" s="16" t="s">
        <v>496</v>
      </c>
      <c r="F87" s="10"/>
      <c r="G87" s="10" t="s">
        <v>497</v>
      </c>
      <c r="H87" s="10" t="s">
        <v>498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>
      <c r="A88" s="10" t="s">
        <v>499</v>
      </c>
      <c r="B88" s="10" t="s">
        <v>399</v>
      </c>
      <c r="C88" s="11" t="s">
        <v>29</v>
      </c>
      <c r="D88" s="12"/>
      <c r="E88" s="16" t="s">
        <v>500</v>
      </c>
      <c r="F88" s="10" t="s">
        <v>501</v>
      </c>
      <c r="G88" s="10" t="s">
        <v>502</v>
      </c>
      <c r="H88" s="10" t="s">
        <v>503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>
      <c r="A89" s="10" t="s">
        <v>504</v>
      </c>
      <c r="B89" s="10" t="s">
        <v>399</v>
      </c>
      <c r="C89" s="15" t="s">
        <v>211</v>
      </c>
      <c r="D89" s="12" t="s">
        <v>505</v>
      </c>
      <c r="E89" s="16" t="s">
        <v>506</v>
      </c>
      <c r="F89" s="10" t="s">
        <v>507</v>
      </c>
      <c r="G89" s="10" t="s">
        <v>508</v>
      </c>
      <c r="H89" s="10" t="s">
        <v>509</v>
      </c>
      <c r="I89" s="10">
        <v>600.0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>
      <c r="A90" s="10" t="s">
        <v>510</v>
      </c>
      <c r="B90" s="10" t="s">
        <v>511</v>
      </c>
      <c r="C90" s="15" t="s">
        <v>512</v>
      </c>
      <c r="D90" s="12" t="s">
        <v>513</v>
      </c>
      <c r="E90" s="16">
        <v>7461060.0</v>
      </c>
      <c r="F90" s="10" t="s">
        <v>514</v>
      </c>
      <c r="G90" s="10" t="s">
        <v>515</v>
      </c>
      <c r="H90" s="10" t="s">
        <v>516</v>
      </c>
      <c r="I90" s="10">
        <v>100.0</v>
      </c>
      <c r="J90" s="11" t="s">
        <v>34</v>
      </c>
      <c r="K90" s="11" t="s">
        <v>35</v>
      </c>
      <c r="L90" s="10">
        <v>50.0</v>
      </c>
      <c r="M90" s="10" t="s">
        <v>517</v>
      </c>
      <c r="N90" s="20"/>
      <c r="O90" s="10" t="s">
        <v>37</v>
      </c>
      <c r="P90" s="10" t="s">
        <v>37</v>
      </c>
      <c r="Q90" s="10" t="s">
        <v>37</v>
      </c>
      <c r="R90" s="10"/>
      <c r="S90" s="10" t="s">
        <v>38</v>
      </c>
      <c r="T90" s="10" t="s">
        <v>518</v>
      </c>
      <c r="U90" s="10"/>
      <c r="V90" s="10" t="s">
        <v>38</v>
      </c>
      <c r="W90" s="10" t="s">
        <v>34</v>
      </c>
      <c r="X90" s="10" t="s">
        <v>34</v>
      </c>
      <c r="Y90" s="10" t="s">
        <v>519</v>
      </c>
      <c r="Z90" s="10" t="s">
        <v>77</v>
      </c>
      <c r="AA90" s="10"/>
      <c r="AB90" s="10"/>
      <c r="AC90" s="10"/>
      <c r="AD90" s="10"/>
      <c r="AE90" s="10"/>
      <c r="AF90" s="10"/>
      <c r="AG90" s="10"/>
      <c r="AH90" s="10"/>
      <c r="AI90" s="10"/>
    </row>
    <row r="91">
      <c r="A91" s="10" t="s">
        <v>520</v>
      </c>
      <c r="B91" s="10" t="s">
        <v>511</v>
      </c>
      <c r="C91" s="15" t="s">
        <v>512</v>
      </c>
      <c r="D91" s="12" t="s">
        <v>521</v>
      </c>
      <c r="E91" s="16" t="s">
        <v>522</v>
      </c>
      <c r="F91" s="10" t="s">
        <v>523</v>
      </c>
      <c r="G91" s="10" t="s">
        <v>524</v>
      </c>
      <c r="H91" s="10" t="s">
        <v>525</v>
      </c>
      <c r="I91" s="10">
        <v>400.0</v>
      </c>
      <c r="J91" s="11" t="s">
        <v>34</v>
      </c>
      <c r="K91" s="11" t="s">
        <v>35</v>
      </c>
      <c r="L91" s="10">
        <v>300.0</v>
      </c>
      <c r="M91" s="10" t="s">
        <v>526</v>
      </c>
      <c r="N91" s="20"/>
      <c r="O91" s="10" t="s">
        <v>37</v>
      </c>
      <c r="P91" s="10" t="s">
        <v>527</v>
      </c>
      <c r="Q91" s="10" t="s">
        <v>37</v>
      </c>
      <c r="R91" s="10"/>
      <c r="S91" s="10" t="s">
        <v>38</v>
      </c>
      <c r="T91" s="10" t="s">
        <v>518</v>
      </c>
      <c r="U91" s="10"/>
      <c r="V91" s="10" t="s">
        <v>34</v>
      </c>
      <c r="W91" s="10" t="s">
        <v>34</v>
      </c>
      <c r="X91" s="10" t="s">
        <v>34</v>
      </c>
      <c r="Y91" s="10" t="s">
        <v>528</v>
      </c>
      <c r="Z91" s="10" t="s">
        <v>77</v>
      </c>
      <c r="AA91" s="10"/>
      <c r="AB91" s="10"/>
      <c r="AC91" s="10"/>
      <c r="AD91" s="10"/>
      <c r="AE91" s="10"/>
      <c r="AF91" s="10"/>
      <c r="AG91" s="10"/>
      <c r="AH91" s="10"/>
      <c r="AI91" s="10"/>
    </row>
    <row r="92">
      <c r="A92" s="10" t="s">
        <v>529</v>
      </c>
      <c r="B92" s="10" t="s">
        <v>511</v>
      </c>
      <c r="C92" s="15" t="s">
        <v>512</v>
      </c>
      <c r="D92" s="12" t="s">
        <v>530</v>
      </c>
      <c r="E92" s="16">
        <v>5.6775977E7</v>
      </c>
      <c r="F92" s="10" t="s">
        <v>531</v>
      </c>
      <c r="G92" s="10" t="s">
        <v>532</v>
      </c>
      <c r="H92" s="10" t="s">
        <v>533</v>
      </c>
      <c r="I92" s="10" t="s">
        <v>534</v>
      </c>
      <c r="J92" s="11" t="s">
        <v>34</v>
      </c>
      <c r="K92" s="11" t="s">
        <v>35</v>
      </c>
      <c r="L92" s="10"/>
      <c r="M92" s="10" t="s">
        <v>535</v>
      </c>
      <c r="N92" s="20">
        <v>50.0</v>
      </c>
      <c r="O92" s="10" t="s">
        <v>37</v>
      </c>
      <c r="P92" s="10" t="s">
        <v>527</v>
      </c>
      <c r="Q92" s="10" t="s">
        <v>37</v>
      </c>
      <c r="R92" s="10"/>
      <c r="S92" s="10" t="s">
        <v>38</v>
      </c>
      <c r="T92" s="10" t="s">
        <v>518</v>
      </c>
      <c r="U92" s="10" t="s">
        <v>536</v>
      </c>
      <c r="V92" s="10" t="s">
        <v>34</v>
      </c>
      <c r="W92" s="10" t="s">
        <v>34</v>
      </c>
      <c r="X92" s="10" t="s">
        <v>34</v>
      </c>
      <c r="Y92" s="10" t="s">
        <v>537</v>
      </c>
      <c r="Z92" s="10" t="s">
        <v>538</v>
      </c>
      <c r="AA92" s="10"/>
      <c r="AB92" s="10"/>
      <c r="AC92" s="10"/>
      <c r="AD92" s="10"/>
      <c r="AE92" s="10"/>
      <c r="AF92" s="10"/>
      <c r="AG92" s="10"/>
      <c r="AH92" s="10"/>
      <c r="AI92" s="10"/>
    </row>
    <row r="93">
      <c r="A93" s="10" t="s">
        <v>539</v>
      </c>
      <c r="B93" s="10" t="s">
        <v>511</v>
      </c>
      <c r="C93" s="15" t="s">
        <v>512</v>
      </c>
      <c r="D93" s="12" t="s">
        <v>540</v>
      </c>
      <c r="E93" s="16">
        <v>7440100.0</v>
      </c>
      <c r="F93" s="10" t="s">
        <v>523</v>
      </c>
      <c r="G93" s="10" t="s">
        <v>524</v>
      </c>
      <c r="H93" s="10" t="s">
        <v>541</v>
      </c>
      <c r="I93" s="10" t="s">
        <v>542</v>
      </c>
      <c r="J93" s="11" t="s">
        <v>34</v>
      </c>
      <c r="K93" s="11" t="s">
        <v>543</v>
      </c>
      <c r="L93" s="10">
        <v>672.0</v>
      </c>
      <c r="M93" s="10" t="s">
        <v>544</v>
      </c>
      <c r="N93" s="21">
        <v>50.0</v>
      </c>
      <c r="O93" s="10" t="s">
        <v>37</v>
      </c>
      <c r="P93" s="10" t="s">
        <v>527</v>
      </c>
      <c r="Q93" s="10" t="s">
        <v>37</v>
      </c>
      <c r="R93" s="10"/>
      <c r="S93" s="10" t="s">
        <v>34</v>
      </c>
      <c r="T93" s="10" t="s">
        <v>545</v>
      </c>
      <c r="U93" s="10"/>
      <c r="V93" s="10" t="s">
        <v>34</v>
      </c>
      <c r="W93" s="10" t="s">
        <v>34</v>
      </c>
      <c r="X93" s="10" t="s">
        <v>34</v>
      </c>
      <c r="Y93" s="10" t="s">
        <v>546</v>
      </c>
      <c r="Z93" s="10" t="s">
        <v>538</v>
      </c>
      <c r="AA93" s="10"/>
      <c r="AB93" s="10"/>
      <c r="AC93" s="10"/>
      <c r="AD93" s="10"/>
      <c r="AE93" s="10"/>
      <c r="AF93" s="10"/>
      <c r="AG93" s="10"/>
      <c r="AH93" s="10"/>
      <c r="AI93" s="10"/>
    </row>
    <row r="94">
      <c r="A94" s="10" t="s">
        <v>547</v>
      </c>
      <c r="B94" s="10" t="s">
        <v>511</v>
      </c>
      <c r="C94" s="15" t="s">
        <v>512</v>
      </c>
      <c r="D94" s="12" t="s">
        <v>548</v>
      </c>
      <c r="E94" s="16">
        <v>5.3986153E7</v>
      </c>
      <c r="F94" s="10" t="s">
        <v>549</v>
      </c>
      <c r="G94" s="10" t="s">
        <v>550</v>
      </c>
      <c r="H94" s="10" t="s">
        <v>551</v>
      </c>
      <c r="I94" s="10">
        <v>200.0</v>
      </c>
      <c r="J94" s="11" t="s">
        <v>34</v>
      </c>
      <c r="K94" s="11" t="s">
        <v>35</v>
      </c>
      <c r="L94" s="10">
        <v>130.0</v>
      </c>
      <c r="M94" s="10" t="s">
        <v>552</v>
      </c>
      <c r="N94" s="20">
        <v>50.0</v>
      </c>
      <c r="O94" s="10" t="s">
        <v>37</v>
      </c>
      <c r="P94" s="10" t="s">
        <v>527</v>
      </c>
      <c r="Q94" s="10" t="s">
        <v>37</v>
      </c>
      <c r="R94" s="10"/>
      <c r="S94" s="10" t="s">
        <v>38</v>
      </c>
      <c r="T94" s="10" t="s">
        <v>518</v>
      </c>
      <c r="U94" s="10"/>
      <c r="V94" s="10" t="s">
        <v>34</v>
      </c>
      <c r="W94" s="10" t="s">
        <v>34</v>
      </c>
      <c r="X94" s="10" t="s">
        <v>34</v>
      </c>
      <c r="Y94" s="10" t="s">
        <v>519</v>
      </c>
      <c r="Z94" s="10" t="s">
        <v>77</v>
      </c>
      <c r="AA94" s="10"/>
      <c r="AB94" s="10"/>
      <c r="AC94" s="10"/>
      <c r="AD94" s="10"/>
      <c r="AE94" s="10"/>
      <c r="AF94" s="10"/>
      <c r="AG94" s="10"/>
      <c r="AH94" s="10"/>
      <c r="AI94" s="10"/>
    </row>
    <row r="95">
      <c r="A95" s="10" t="s">
        <v>553</v>
      </c>
      <c r="B95" s="10" t="s">
        <v>511</v>
      </c>
      <c r="C95" s="15" t="s">
        <v>512</v>
      </c>
      <c r="D95" s="12" t="s">
        <v>554</v>
      </c>
      <c r="E95" s="16">
        <v>7440170.0</v>
      </c>
      <c r="F95" s="10" t="s">
        <v>523</v>
      </c>
      <c r="G95" s="10" t="s">
        <v>524</v>
      </c>
      <c r="H95" s="10" t="s">
        <v>555</v>
      </c>
      <c r="I95" s="10" t="s">
        <v>556</v>
      </c>
      <c r="J95" s="11" t="s">
        <v>34</v>
      </c>
      <c r="K95" s="11" t="s">
        <v>35</v>
      </c>
      <c r="L95" s="10">
        <v>446.0</v>
      </c>
      <c r="M95" s="10" t="s">
        <v>557</v>
      </c>
      <c r="N95" s="20">
        <v>50.0</v>
      </c>
      <c r="O95" s="10" t="s">
        <v>37</v>
      </c>
      <c r="P95" s="10" t="s">
        <v>527</v>
      </c>
      <c r="Q95" s="10" t="s">
        <v>37</v>
      </c>
      <c r="R95" s="10"/>
      <c r="S95" s="10" t="s">
        <v>38</v>
      </c>
      <c r="T95" s="10" t="s">
        <v>518</v>
      </c>
      <c r="U95" s="10"/>
      <c r="V95" s="10" t="s">
        <v>34</v>
      </c>
      <c r="W95" s="10" t="s">
        <v>34</v>
      </c>
      <c r="X95" s="10" t="s">
        <v>34</v>
      </c>
      <c r="Y95" s="10" t="s">
        <v>519</v>
      </c>
      <c r="Z95" s="10" t="s">
        <v>77</v>
      </c>
      <c r="AA95" s="10"/>
      <c r="AB95" s="10"/>
      <c r="AC95" s="10"/>
      <c r="AD95" s="10"/>
      <c r="AE95" s="10"/>
      <c r="AF95" s="10"/>
      <c r="AG95" s="10"/>
      <c r="AH95" s="10"/>
      <c r="AI95" s="10"/>
    </row>
    <row r="96">
      <c r="A96" s="10" t="s">
        <v>558</v>
      </c>
      <c r="B96" s="10" t="s">
        <v>511</v>
      </c>
      <c r="C96" s="15" t="s">
        <v>400</v>
      </c>
      <c r="D96" s="12" t="s">
        <v>559</v>
      </c>
      <c r="E96" s="16">
        <v>7423705.0</v>
      </c>
      <c r="F96" s="10" t="s">
        <v>560</v>
      </c>
      <c r="G96" s="10" t="s">
        <v>561</v>
      </c>
      <c r="H96" s="10" t="s">
        <v>562</v>
      </c>
      <c r="I96" s="10" t="s">
        <v>534</v>
      </c>
      <c r="J96" s="11" t="s">
        <v>34</v>
      </c>
      <c r="K96" s="11" t="s">
        <v>35</v>
      </c>
      <c r="L96" s="10">
        <v>230.0</v>
      </c>
      <c r="M96" s="10" t="s">
        <v>563</v>
      </c>
      <c r="N96" s="20">
        <v>70.0</v>
      </c>
      <c r="O96" s="10" t="s">
        <v>37</v>
      </c>
      <c r="P96" s="10" t="s">
        <v>527</v>
      </c>
      <c r="Q96" s="10" t="s">
        <v>37</v>
      </c>
      <c r="R96" s="10"/>
      <c r="S96" s="10" t="s">
        <v>34</v>
      </c>
      <c r="T96" s="10" t="s">
        <v>518</v>
      </c>
      <c r="U96" s="10"/>
      <c r="V96" s="10" t="s">
        <v>34</v>
      </c>
      <c r="W96" s="10" t="s">
        <v>34</v>
      </c>
      <c r="X96" s="10" t="s">
        <v>34</v>
      </c>
      <c r="Y96" s="10" t="s">
        <v>519</v>
      </c>
      <c r="Z96" s="10" t="s">
        <v>77</v>
      </c>
      <c r="AA96" s="10"/>
      <c r="AB96" s="10"/>
      <c r="AC96" s="10"/>
      <c r="AD96" s="10"/>
      <c r="AE96" s="10"/>
      <c r="AF96" s="10"/>
      <c r="AG96" s="10"/>
      <c r="AH96" s="10"/>
      <c r="AI96" s="10"/>
    </row>
    <row r="97">
      <c r="A97" s="10" t="s">
        <v>564</v>
      </c>
      <c r="B97" s="10" t="s">
        <v>511</v>
      </c>
      <c r="C97" s="15" t="s">
        <v>400</v>
      </c>
      <c r="D97" s="12" t="s">
        <v>565</v>
      </c>
      <c r="E97" s="16">
        <v>7.4061709E7</v>
      </c>
      <c r="F97" s="10" t="s">
        <v>566</v>
      </c>
      <c r="G97" s="10" t="s">
        <v>567</v>
      </c>
      <c r="H97" s="10" t="s">
        <v>568</v>
      </c>
      <c r="I97" s="10" t="s">
        <v>569</v>
      </c>
      <c r="J97" s="11" t="s">
        <v>34</v>
      </c>
      <c r="K97" s="11" t="s">
        <v>543</v>
      </c>
      <c r="L97" s="10">
        <v>100.0</v>
      </c>
      <c r="M97" s="10"/>
      <c r="N97" s="20"/>
      <c r="O97" s="10" t="s">
        <v>37</v>
      </c>
      <c r="P97" s="11" t="s">
        <v>74</v>
      </c>
      <c r="Q97" s="10" t="s">
        <v>37</v>
      </c>
      <c r="R97" s="10"/>
      <c r="S97" s="10" t="s">
        <v>38</v>
      </c>
      <c r="T97" s="10" t="s">
        <v>518</v>
      </c>
      <c r="U97" s="10"/>
      <c r="V97" s="10" t="s">
        <v>38</v>
      </c>
      <c r="W97" s="10" t="s">
        <v>34</v>
      </c>
      <c r="X97" s="10" t="s">
        <v>34</v>
      </c>
      <c r="Y97" s="10" t="s">
        <v>519</v>
      </c>
      <c r="Z97" s="10" t="s">
        <v>77</v>
      </c>
      <c r="AA97" s="10"/>
      <c r="AB97" s="10"/>
      <c r="AC97" s="10"/>
      <c r="AD97" s="10"/>
      <c r="AE97" s="10"/>
      <c r="AF97" s="10"/>
      <c r="AG97" s="10"/>
      <c r="AH97" s="10"/>
      <c r="AI97" s="10"/>
    </row>
    <row r="98">
      <c r="A98" s="10" t="s">
        <v>570</v>
      </c>
      <c r="B98" s="10" t="s">
        <v>511</v>
      </c>
      <c r="C98" s="10" t="s">
        <v>90</v>
      </c>
      <c r="D98" s="12" t="s">
        <v>571</v>
      </c>
      <c r="E98" s="16">
        <v>7361545.0</v>
      </c>
      <c r="F98" s="10" t="s">
        <v>572</v>
      </c>
      <c r="G98" s="10" t="s">
        <v>573</v>
      </c>
      <c r="H98" s="10" t="s">
        <v>574</v>
      </c>
      <c r="I98" s="10">
        <v>30.0</v>
      </c>
      <c r="J98" s="11" t="s">
        <v>34</v>
      </c>
      <c r="K98" s="11" t="s">
        <v>35</v>
      </c>
      <c r="L98" s="10">
        <v>15.0</v>
      </c>
      <c r="M98" s="10"/>
      <c r="N98" s="20"/>
      <c r="O98" s="11" t="s">
        <v>74</v>
      </c>
      <c r="P98" s="11" t="s">
        <v>74</v>
      </c>
      <c r="Q98" s="10" t="s">
        <v>37</v>
      </c>
      <c r="R98" s="10" t="s">
        <v>575</v>
      </c>
      <c r="S98" s="10" t="s">
        <v>38</v>
      </c>
      <c r="T98" s="10" t="s">
        <v>38</v>
      </c>
      <c r="U98" s="10"/>
      <c r="V98" s="10" t="s">
        <v>38</v>
      </c>
      <c r="W98" s="10" t="s">
        <v>34</v>
      </c>
      <c r="X98" s="10" t="s">
        <v>34</v>
      </c>
      <c r="Y98" s="10" t="s">
        <v>519</v>
      </c>
      <c r="Z98" s="10" t="s">
        <v>576</v>
      </c>
      <c r="AA98" s="10"/>
      <c r="AB98" s="10"/>
      <c r="AC98" s="10"/>
      <c r="AD98" s="10"/>
      <c r="AE98" s="10"/>
      <c r="AF98" s="10"/>
      <c r="AG98" s="10"/>
      <c r="AH98" s="10"/>
      <c r="AI98" s="10"/>
    </row>
    <row r="99">
      <c r="A99" s="10" t="s">
        <v>577</v>
      </c>
      <c r="B99" s="10" t="s">
        <v>511</v>
      </c>
      <c r="C99" s="10" t="s">
        <v>90</v>
      </c>
      <c r="D99" s="12" t="s">
        <v>578</v>
      </c>
      <c r="E99" s="16" t="s">
        <v>579</v>
      </c>
      <c r="F99" s="10" t="s">
        <v>580</v>
      </c>
      <c r="G99" s="10" t="s">
        <v>581</v>
      </c>
      <c r="H99" s="10" t="s">
        <v>582</v>
      </c>
      <c r="I99" s="10"/>
      <c r="J99" s="11" t="s">
        <v>38</v>
      </c>
      <c r="K99" s="10"/>
      <c r="L99" s="10"/>
      <c r="M99" s="10"/>
      <c r="N99" s="20"/>
      <c r="O99" s="10"/>
      <c r="P99" s="10"/>
      <c r="Q99" s="10"/>
      <c r="R99" s="10"/>
      <c r="S99" s="10" t="s">
        <v>38</v>
      </c>
      <c r="T99" s="10" t="s">
        <v>518</v>
      </c>
      <c r="U99" s="10"/>
      <c r="V99" s="10" t="s">
        <v>38</v>
      </c>
      <c r="W99" s="10" t="s">
        <v>34</v>
      </c>
      <c r="X99" s="10" t="s">
        <v>34</v>
      </c>
      <c r="Y99" s="10" t="s">
        <v>583</v>
      </c>
      <c r="Z99" s="10" t="s">
        <v>77</v>
      </c>
      <c r="AA99" s="10"/>
      <c r="AB99" s="10"/>
      <c r="AC99" s="10"/>
      <c r="AD99" s="10"/>
      <c r="AE99" s="10"/>
      <c r="AF99" s="10"/>
      <c r="AG99" s="10"/>
      <c r="AH99" s="10"/>
      <c r="AI99" s="10"/>
    </row>
    <row r="100">
      <c r="A100" s="10" t="s">
        <v>584</v>
      </c>
      <c r="B100" s="10" t="s">
        <v>511</v>
      </c>
      <c r="C100" s="10" t="s">
        <v>585</v>
      </c>
      <c r="D100" s="12" t="s">
        <v>586</v>
      </c>
      <c r="E100" s="16">
        <v>7355095.0</v>
      </c>
      <c r="F100" s="10" t="s">
        <v>587</v>
      </c>
      <c r="G100" s="10" t="s">
        <v>588</v>
      </c>
      <c r="H100" s="10" t="s">
        <v>589</v>
      </c>
      <c r="I100" s="10" t="s">
        <v>542</v>
      </c>
      <c r="J100" s="11" t="s">
        <v>34</v>
      </c>
      <c r="K100" s="11" t="s">
        <v>35</v>
      </c>
      <c r="L100" s="10">
        <v>700.0</v>
      </c>
      <c r="M100" s="10"/>
      <c r="N100" s="20">
        <v>150.0</v>
      </c>
      <c r="O100" s="10" t="s">
        <v>37</v>
      </c>
      <c r="P100" s="10" t="s">
        <v>590</v>
      </c>
      <c r="Q100" s="10" t="s">
        <v>37</v>
      </c>
      <c r="R100" s="10"/>
      <c r="S100" s="10" t="s">
        <v>34</v>
      </c>
      <c r="T100" s="10" t="s">
        <v>518</v>
      </c>
      <c r="U100" s="10"/>
      <c r="V100" s="10" t="s">
        <v>34</v>
      </c>
      <c r="W100" s="10" t="s">
        <v>34</v>
      </c>
      <c r="X100" s="10" t="s">
        <v>34</v>
      </c>
      <c r="Y100" s="10" t="s">
        <v>591</v>
      </c>
      <c r="Z100" s="10" t="s">
        <v>77</v>
      </c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>
      <c r="A101" s="10" t="s">
        <v>592</v>
      </c>
      <c r="B101" s="10" t="s">
        <v>511</v>
      </c>
      <c r="C101" s="15" t="s">
        <v>90</v>
      </c>
      <c r="D101" s="12" t="s">
        <v>593</v>
      </c>
      <c r="E101" s="16">
        <v>7376932.0</v>
      </c>
      <c r="F101" s="10" t="s">
        <v>594</v>
      </c>
      <c r="G101" s="10" t="s">
        <v>595</v>
      </c>
      <c r="H101" s="10" t="s">
        <v>596</v>
      </c>
      <c r="I101" s="10" t="s">
        <v>597</v>
      </c>
      <c r="J101" s="11" t="s">
        <v>34</v>
      </c>
      <c r="K101" s="11" t="s">
        <v>35</v>
      </c>
      <c r="L101" s="10">
        <v>50.0</v>
      </c>
      <c r="M101" s="10"/>
      <c r="N101" s="20">
        <v>15.0</v>
      </c>
      <c r="O101" s="10" t="s">
        <v>37</v>
      </c>
      <c r="P101" s="11" t="s">
        <v>74</v>
      </c>
      <c r="Q101" s="10" t="s">
        <v>37</v>
      </c>
      <c r="R101" s="10"/>
      <c r="S101" s="10" t="s">
        <v>34</v>
      </c>
      <c r="T101" s="10" t="s">
        <v>518</v>
      </c>
      <c r="U101" s="10"/>
      <c r="V101" s="10" t="s">
        <v>34</v>
      </c>
      <c r="W101" s="10" t="s">
        <v>34</v>
      </c>
      <c r="X101" s="10" t="s">
        <v>413</v>
      </c>
      <c r="Y101" s="10" t="s">
        <v>591</v>
      </c>
      <c r="Z101" s="10" t="s">
        <v>598</v>
      </c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>
      <c r="A102" s="10" t="s">
        <v>599</v>
      </c>
      <c r="B102" s="10" t="s">
        <v>511</v>
      </c>
      <c r="C102" s="15" t="s">
        <v>90</v>
      </c>
      <c r="D102" s="12" t="s">
        <v>600</v>
      </c>
      <c r="E102" s="16">
        <v>7383013.0</v>
      </c>
      <c r="F102" s="10" t="s">
        <v>601</v>
      </c>
      <c r="G102" s="10" t="s">
        <v>602</v>
      </c>
      <c r="H102" s="10" t="s">
        <v>603</v>
      </c>
      <c r="I102" s="10">
        <v>30.0</v>
      </c>
      <c r="J102" s="11" t="s">
        <v>34</v>
      </c>
      <c r="K102" s="11" t="s">
        <v>35</v>
      </c>
      <c r="L102" s="10">
        <v>15.0</v>
      </c>
      <c r="M102" s="10"/>
      <c r="N102" s="20"/>
      <c r="O102" s="11" t="s">
        <v>74</v>
      </c>
      <c r="P102" s="11" t="s">
        <v>74</v>
      </c>
      <c r="Q102" s="10" t="s">
        <v>604</v>
      </c>
      <c r="R102" s="10"/>
      <c r="S102" s="10" t="s">
        <v>38</v>
      </c>
      <c r="T102" s="10" t="s">
        <v>518</v>
      </c>
      <c r="U102" s="10"/>
      <c r="V102" s="10" t="s">
        <v>38</v>
      </c>
      <c r="W102" s="10" t="s">
        <v>34</v>
      </c>
      <c r="X102" s="10" t="s">
        <v>34</v>
      </c>
      <c r="Y102" s="10" t="s">
        <v>591</v>
      </c>
      <c r="Z102" s="10" t="s">
        <v>605</v>
      </c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>
      <c r="A103" s="10" t="s">
        <v>606</v>
      </c>
      <c r="B103" s="10" t="s">
        <v>511</v>
      </c>
      <c r="C103" s="15" t="s">
        <v>90</v>
      </c>
      <c r="D103" s="12" t="s">
        <v>607</v>
      </c>
      <c r="E103" s="16">
        <v>7377700.0</v>
      </c>
      <c r="F103" s="10" t="s">
        <v>608</v>
      </c>
      <c r="G103" s="10" t="s">
        <v>609</v>
      </c>
      <c r="H103" s="10" t="s">
        <v>610</v>
      </c>
      <c r="I103" s="10" t="s">
        <v>611</v>
      </c>
      <c r="J103" s="11" t="s">
        <v>34</v>
      </c>
      <c r="K103" s="11" t="s">
        <v>543</v>
      </c>
      <c r="L103" s="10">
        <v>100.0</v>
      </c>
      <c r="M103" s="10" t="s">
        <v>612</v>
      </c>
      <c r="N103" s="20">
        <v>14.0</v>
      </c>
      <c r="O103" s="10" t="s">
        <v>37</v>
      </c>
      <c r="P103" s="11" t="s">
        <v>74</v>
      </c>
      <c r="Q103" s="10" t="s">
        <v>37</v>
      </c>
      <c r="R103" s="10"/>
      <c r="S103" s="10" t="s">
        <v>34</v>
      </c>
      <c r="T103" s="10" t="s">
        <v>518</v>
      </c>
      <c r="U103" s="10"/>
      <c r="V103" s="10" t="s">
        <v>38</v>
      </c>
      <c r="W103" s="10" t="s">
        <v>34</v>
      </c>
      <c r="X103" s="10" t="s">
        <v>34</v>
      </c>
      <c r="Y103" s="10" t="s">
        <v>613</v>
      </c>
      <c r="Z103" s="10" t="s">
        <v>77</v>
      </c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>
      <c r="A104" s="10" t="s">
        <v>614</v>
      </c>
      <c r="B104" s="10" t="s">
        <v>511</v>
      </c>
      <c r="C104" s="15" t="s">
        <v>90</v>
      </c>
      <c r="D104" s="12"/>
      <c r="E104" s="16"/>
      <c r="F104" s="10" t="s">
        <v>615</v>
      </c>
      <c r="G104" s="10" t="s">
        <v>616</v>
      </c>
      <c r="H104" s="10" t="s">
        <v>617</v>
      </c>
      <c r="I104" s="10" t="s">
        <v>618</v>
      </c>
      <c r="J104" s="10"/>
      <c r="K104" s="10"/>
      <c r="L104" s="10"/>
      <c r="M104" s="10"/>
      <c r="N104" s="20"/>
      <c r="O104" s="11" t="s">
        <v>74</v>
      </c>
      <c r="P104" s="11" t="s">
        <v>74</v>
      </c>
      <c r="Q104" s="11" t="s">
        <v>74</v>
      </c>
      <c r="R104" s="10"/>
      <c r="S104" s="10" t="s">
        <v>38</v>
      </c>
      <c r="T104" s="10" t="s">
        <v>518</v>
      </c>
      <c r="U104" s="10"/>
      <c r="V104" s="10" t="s">
        <v>38</v>
      </c>
      <c r="W104" s="10" t="s">
        <v>34</v>
      </c>
      <c r="X104" s="10" t="s">
        <v>34</v>
      </c>
      <c r="Y104" s="10" t="s">
        <v>583</v>
      </c>
      <c r="Z104" s="10" t="s">
        <v>77</v>
      </c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>
      <c r="A105" s="10" t="s">
        <v>619</v>
      </c>
      <c r="B105" s="10" t="s">
        <v>511</v>
      </c>
      <c r="C105" s="15" t="s">
        <v>90</v>
      </c>
      <c r="D105" s="12" t="s">
        <v>620</v>
      </c>
      <c r="E105" s="16">
        <v>7363079.0</v>
      </c>
      <c r="F105" s="10" t="s">
        <v>621</v>
      </c>
      <c r="G105" s="10" t="s">
        <v>622</v>
      </c>
      <c r="H105" s="10" t="s">
        <v>623</v>
      </c>
      <c r="I105" s="10" t="s">
        <v>624</v>
      </c>
      <c r="J105" s="11" t="s">
        <v>34</v>
      </c>
      <c r="K105" s="11" t="s">
        <v>35</v>
      </c>
      <c r="L105" s="10">
        <v>600.0</v>
      </c>
      <c r="M105" s="10"/>
      <c r="N105" s="20">
        <v>250.0</v>
      </c>
      <c r="O105" s="10" t="s">
        <v>37</v>
      </c>
      <c r="P105" s="10" t="s">
        <v>37</v>
      </c>
      <c r="Q105" s="10" t="s">
        <v>37</v>
      </c>
      <c r="R105" s="10" t="s">
        <v>625</v>
      </c>
      <c r="S105" s="10" t="s">
        <v>34</v>
      </c>
      <c r="T105" s="10" t="s">
        <v>545</v>
      </c>
      <c r="U105" s="10"/>
      <c r="V105" s="10" t="s">
        <v>34</v>
      </c>
      <c r="W105" s="10" t="s">
        <v>34</v>
      </c>
      <c r="X105" s="10" t="s">
        <v>34</v>
      </c>
      <c r="Y105" s="10" t="s">
        <v>546</v>
      </c>
      <c r="Z105" s="10" t="s">
        <v>626</v>
      </c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>
      <c r="A106" s="10" t="s">
        <v>627</v>
      </c>
      <c r="B106" s="10" t="s">
        <v>511</v>
      </c>
      <c r="C106" s="15" t="s">
        <v>90</v>
      </c>
      <c r="D106" s="12" t="s">
        <v>628</v>
      </c>
      <c r="E106" s="16">
        <v>7300750.0</v>
      </c>
      <c r="F106" s="10" t="s">
        <v>629</v>
      </c>
      <c r="G106" s="10" t="s">
        <v>630</v>
      </c>
      <c r="H106" s="10" t="s">
        <v>631</v>
      </c>
      <c r="I106" s="10" t="s">
        <v>632</v>
      </c>
      <c r="J106" s="11" t="s">
        <v>34</v>
      </c>
      <c r="K106" s="11" t="s">
        <v>543</v>
      </c>
      <c r="L106" s="10" t="s">
        <v>569</v>
      </c>
      <c r="M106" s="10"/>
      <c r="N106" s="20">
        <v>50.0</v>
      </c>
      <c r="O106" s="10" t="s">
        <v>37</v>
      </c>
      <c r="P106" s="10" t="s">
        <v>37</v>
      </c>
      <c r="Q106" s="10" t="s">
        <v>37</v>
      </c>
      <c r="R106" s="10" t="s">
        <v>633</v>
      </c>
      <c r="S106" s="10" t="s">
        <v>34</v>
      </c>
      <c r="T106" s="10" t="s">
        <v>518</v>
      </c>
      <c r="U106" s="10"/>
      <c r="V106" s="10" t="s">
        <v>34</v>
      </c>
      <c r="W106" s="10" t="s">
        <v>34</v>
      </c>
      <c r="X106" s="10" t="s">
        <v>34</v>
      </c>
      <c r="Y106" s="10" t="s">
        <v>519</v>
      </c>
      <c r="Z106" s="10" t="s">
        <v>77</v>
      </c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>
      <c r="A107" s="10" t="s">
        <v>634</v>
      </c>
      <c r="B107" s="10" t="s">
        <v>511</v>
      </c>
      <c r="C107" s="15" t="s">
        <v>90</v>
      </c>
      <c r="D107" s="12" t="s">
        <v>635</v>
      </c>
      <c r="E107" s="16">
        <v>5.6828117E7</v>
      </c>
      <c r="F107" s="10" t="s">
        <v>636</v>
      </c>
      <c r="G107" s="10" t="s">
        <v>637</v>
      </c>
      <c r="H107" s="10" t="s">
        <v>638</v>
      </c>
      <c r="I107" s="10" t="s">
        <v>639</v>
      </c>
      <c r="J107" s="11" t="s">
        <v>34</v>
      </c>
      <c r="K107" s="11" t="s">
        <v>35</v>
      </c>
      <c r="L107" s="10">
        <v>30.0</v>
      </c>
      <c r="M107" s="10"/>
      <c r="N107" s="20">
        <v>15.0</v>
      </c>
      <c r="O107" s="10" t="s">
        <v>37</v>
      </c>
      <c r="P107" s="10" t="s">
        <v>37</v>
      </c>
      <c r="Q107" s="10" t="s">
        <v>37</v>
      </c>
      <c r="R107" s="10"/>
      <c r="S107" s="10" t="s">
        <v>34</v>
      </c>
      <c r="T107" s="10" t="s">
        <v>545</v>
      </c>
      <c r="U107" s="10"/>
      <c r="V107" s="10" t="s">
        <v>34</v>
      </c>
      <c r="W107" s="10" t="s">
        <v>34</v>
      </c>
      <c r="X107" s="10" t="s">
        <v>34</v>
      </c>
      <c r="Y107" s="10" t="s">
        <v>640</v>
      </c>
      <c r="Z107" s="10" t="s">
        <v>641</v>
      </c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>
      <c r="A108" s="10" t="s">
        <v>642</v>
      </c>
      <c r="B108" s="10" t="s">
        <v>511</v>
      </c>
      <c r="C108" s="15" t="s">
        <v>90</v>
      </c>
      <c r="D108" s="12" t="s">
        <v>643</v>
      </c>
      <c r="E108" s="16" t="s">
        <v>644</v>
      </c>
      <c r="F108" s="10" t="s">
        <v>645</v>
      </c>
      <c r="G108" s="10" t="s">
        <v>646</v>
      </c>
      <c r="H108" s="10" t="s">
        <v>647</v>
      </c>
      <c r="I108" s="10" t="s">
        <v>648</v>
      </c>
      <c r="J108" s="11" t="s">
        <v>38</v>
      </c>
      <c r="K108" s="10"/>
      <c r="L108" s="10"/>
      <c r="M108" s="10"/>
      <c r="N108" s="20"/>
      <c r="O108" s="11" t="s">
        <v>74</v>
      </c>
      <c r="P108" s="11" t="s">
        <v>74</v>
      </c>
      <c r="Q108" s="11" t="s">
        <v>74</v>
      </c>
      <c r="R108" s="10"/>
      <c r="S108" s="10" t="s">
        <v>38</v>
      </c>
      <c r="T108" s="10" t="s">
        <v>38</v>
      </c>
      <c r="U108" s="10"/>
      <c r="V108" s="10" t="s">
        <v>38</v>
      </c>
      <c r="W108" s="10" t="s">
        <v>34</v>
      </c>
      <c r="X108" s="10" t="s">
        <v>34</v>
      </c>
      <c r="Y108" s="10" t="s">
        <v>519</v>
      </c>
      <c r="Z108" s="10" t="s">
        <v>649</v>
      </c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>
      <c r="A109" s="10" t="s">
        <v>650</v>
      </c>
      <c r="B109" s="10" t="s">
        <v>511</v>
      </c>
      <c r="C109" s="15" t="s">
        <v>90</v>
      </c>
      <c r="D109" s="12" t="s">
        <v>651</v>
      </c>
      <c r="E109" s="16">
        <v>7461717.0</v>
      </c>
      <c r="F109" s="10" t="s">
        <v>652</v>
      </c>
      <c r="G109" s="10" t="s">
        <v>653</v>
      </c>
      <c r="H109" s="10" t="s">
        <v>654</v>
      </c>
      <c r="I109" s="10" t="s">
        <v>648</v>
      </c>
      <c r="J109" s="11" t="s">
        <v>38</v>
      </c>
      <c r="K109" s="10"/>
      <c r="L109" s="10"/>
      <c r="M109" s="10"/>
      <c r="N109" s="20"/>
      <c r="O109" s="11" t="s">
        <v>74</v>
      </c>
      <c r="P109" s="11" t="s">
        <v>74</v>
      </c>
      <c r="Q109" s="11" t="s">
        <v>74</v>
      </c>
      <c r="R109" s="10"/>
      <c r="S109" s="10" t="s">
        <v>38</v>
      </c>
      <c r="T109" s="10" t="s">
        <v>38</v>
      </c>
      <c r="U109" s="10"/>
      <c r="V109" s="10" t="s">
        <v>38</v>
      </c>
      <c r="W109" s="10" t="s">
        <v>34</v>
      </c>
      <c r="X109" s="10" t="s">
        <v>34</v>
      </c>
      <c r="Y109" s="10" t="s">
        <v>519</v>
      </c>
      <c r="Z109" s="10" t="s">
        <v>77</v>
      </c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>
      <c r="A110" s="10" t="s">
        <v>655</v>
      </c>
      <c r="B110" s="10" t="s">
        <v>511</v>
      </c>
      <c r="C110" s="10" t="s">
        <v>90</v>
      </c>
      <c r="D110" s="12" t="s">
        <v>656</v>
      </c>
      <c r="E110" s="16">
        <v>7461020.0</v>
      </c>
      <c r="F110" s="10" t="s">
        <v>657</v>
      </c>
      <c r="G110" s="10" t="s">
        <v>658</v>
      </c>
      <c r="H110" s="10" t="s">
        <v>659</v>
      </c>
      <c r="I110" s="10" t="s">
        <v>569</v>
      </c>
      <c r="J110" s="11" t="s">
        <v>34</v>
      </c>
      <c r="K110" s="11" t="s">
        <v>543</v>
      </c>
      <c r="L110" s="10">
        <v>70.0</v>
      </c>
      <c r="M110" s="10"/>
      <c r="N110" s="20">
        <v>15.0</v>
      </c>
      <c r="O110" s="10" t="s">
        <v>37</v>
      </c>
      <c r="P110" s="10" t="s">
        <v>37</v>
      </c>
      <c r="Q110" s="10" t="s">
        <v>37</v>
      </c>
      <c r="R110" s="10"/>
      <c r="S110" s="10" t="s">
        <v>38</v>
      </c>
      <c r="T110" s="10" t="s">
        <v>518</v>
      </c>
      <c r="U110" s="10"/>
      <c r="V110" s="10" t="s">
        <v>34</v>
      </c>
      <c r="W110" s="10" t="s">
        <v>34</v>
      </c>
      <c r="X110" s="10" t="s">
        <v>34</v>
      </c>
      <c r="Y110" s="10" t="s">
        <v>519</v>
      </c>
      <c r="Z110" s="10" t="s">
        <v>660</v>
      </c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>
      <c r="A111" s="10" t="s">
        <v>661</v>
      </c>
      <c r="B111" s="10" t="s">
        <v>511</v>
      </c>
      <c r="C111" s="15" t="s">
        <v>90</v>
      </c>
      <c r="D111" s="12" t="s">
        <v>662</v>
      </c>
      <c r="E111" s="16">
        <v>7461030.0</v>
      </c>
      <c r="F111" s="10" t="s">
        <v>663</v>
      </c>
      <c r="G111" s="10" t="s">
        <v>664</v>
      </c>
      <c r="H111" s="10" t="s">
        <v>665</v>
      </c>
      <c r="I111" s="10" t="s">
        <v>618</v>
      </c>
      <c r="J111" s="11" t="s">
        <v>38</v>
      </c>
      <c r="K111" s="10"/>
      <c r="L111" s="10"/>
      <c r="M111" s="10"/>
      <c r="N111" s="20"/>
      <c r="O111" s="10" t="s">
        <v>37</v>
      </c>
      <c r="P111" s="11" t="s">
        <v>74</v>
      </c>
      <c r="Q111" s="10" t="s">
        <v>37</v>
      </c>
      <c r="R111" s="10"/>
      <c r="S111" s="10" t="s">
        <v>38</v>
      </c>
      <c r="T111" s="10" t="s">
        <v>38</v>
      </c>
      <c r="U111" s="10"/>
      <c r="V111" s="10" t="s">
        <v>38</v>
      </c>
      <c r="W111" s="10" t="s">
        <v>34</v>
      </c>
      <c r="X111" s="10" t="s">
        <v>34</v>
      </c>
      <c r="Y111" s="10" t="s">
        <v>519</v>
      </c>
      <c r="Z111" s="10" t="s">
        <v>666</v>
      </c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>
      <c r="A112" s="10" t="s">
        <v>667</v>
      </c>
      <c r="B112" s="10" t="s">
        <v>511</v>
      </c>
      <c r="C112" s="15" t="s">
        <v>90</v>
      </c>
      <c r="D112" s="12" t="s">
        <v>668</v>
      </c>
      <c r="E112" s="16"/>
      <c r="F112" s="10" t="s">
        <v>669</v>
      </c>
      <c r="G112" s="10" t="s">
        <v>670</v>
      </c>
      <c r="H112" s="10" t="s">
        <v>671</v>
      </c>
      <c r="I112" s="10" t="s">
        <v>672</v>
      </c>
      <c r="J112" s="11" t="s">
        <v>38</v>
      </c>
      <c r="K112" s="10"/>
      <c r="L112" s="10"/>
      <c r="M112" s="10"/>
      <c r="N112" s="20"/>
      <c r="O112" s="11" t="s">
        <v>74</v>
      </c>
      <c r="P112" s="11" t="s">
        <v>74</v>
      </c>
      <c r="Q112" s="11" t="s">
        <v>74</v>
      </c>
      <c r="R112" s="10"/>
      <c r="S112" s="10" t="s">
        <v>38</v>
      </c>
      <c r="T112" s="10" t="s">
        <v>38</v>
      </c>
      <c r="U112" s="10"/>
      <c r="V112" s="10" t="s">
        <v>38</v>
      </c>
      <c r="W112" s="10" t="s">
        <v>34</v>
      </c>
      <c r="X112" s="10" t="s">
        <v>34</v>
      </c>
      <c r="Y112" s="10" t="s">
        <v>519</v>
      </c>
      <c r="Z112" s="10" t="s">
        <v>77</v>
      </c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>
      <c r="A113" s="10" t="s">
        <v>673</v>
      </c>
      <c r="B113" s="10" t="s">
        <v>511</v>
      </c>
      <c r="C113" s="10" t="s">
        <v>674</v>
      </c>
      <c r="D113" s="12" t="s">
        <v>675</v>
      </c>
      <c r="E113" s="16">
        <v>7427671.0</v>
      </c>
      <c r="F113" s="10" t="s">
        <v>676</v>
      </c>
      <c r="G113" s="10" t="s">
        <v>677</v>
      </c>
      <c r="H113" s="10" t="s">
        <v>678</v>
      </c>
      <c r="I113" s="10" t="s">
        <v>632</v>
      </c>
      <c r="J113" s="11" t="s">
        <v>34</v>
      </c>
      <c r="K113" s="11" t="s">
        <v>543</v>
      </c>
      <c r="L113" s="10" t="s">
        <v>569</v>
      </c>
      <c r="M113" s="10"/>
      <c r="N113" s="20" t="s">
        <v>639</v>
      </c>
      <c r="O113" s="10" t="s">
        <v>37</v>
      </c>
      <c r="P113" s="10" t="s">
        <v>37</v>
      </c>
      <c r="Q113" s="10" t="s">
        <v>37</v>
      </c>
      <c r="R113" s="10"/>
      <c r="S113" s="10" t="s">
        <v>34</v>
      </c>
      <c r="T113" s="10" t="s">
        <v>679</v>
      </c>
      <c r="U113" s="10"/>
      <c r="V113" s="10" t="s">
        <v>38</v>
      </c>
      <c r="W113" s="10" t="s">
        <v>34</v>
      </c>
      <c r="X113" s="10" t="s">
        <v>34</v>
      </c>
      <c r="Y113" s="10" t="s">
        <v>519</v>
      </c>
      <c r="Z113" s="10" t="s">
        <v>77</v>
      </c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>
      <c r="A114" s="10" t="s">
        <v>680</v>
      </c>
      <c r="B114" s="10" t="s">
        <v>511</v>
      </c>
      <c r="C114" s="10" t="s">
        <v>90</v>
      </c>
      <c r="D114" s="12" t="s">
        <v>681</v>
      </c>
      <c r="E114" s="16">
        <v>5.8817811E7</v>
      </c>
      <c r="F114" s="10" t="s">
        <v>682</v>
      </c>
      <c r="G114" s="10" t="s">
        <v>683</v>
      </c>
      <c r="H114" s="10" t="s">
        <v>684</v>
      </c>
      <c r="I114" s="10" t="s">
        <v>569</v>
      </c>
      <c r="J114" s="11" t="s">
        <v>34</v>
      </c>
      <c r="K114" s="11" t="s">
        <v>543</v>
      </c>
      <c r="L114" s="10" t="s">
        <v>685</v>
      </c>
      <c r="M114" s="10"/>
      <c r="N114" s="20" t="s">
        <v>686</v>
      </c>
      <c r="O114" s="10" t="s">
        <v>37</v>
      </c>
      <c r="P114" s="10" t="s">
        <v>37</v>
      </c>
      <c r="Q114" s="10" t="s">
        <v>37</v>
      </c>
      <c r="R114" s="10"/>
      <c r="S114" s="10" t="s">
        <v>34</v>
      </c>
      <c r="T114" s="10" t="s">
        <v>679</v>
      </c>
      <c r="U114" s="10"/>
      <c r="V114" s="10" t="s">
        <v>38</v>
      </c>
      <c r="W114" s="10" t="s">
        <v>34</v>
      </c>
      <c r="X114" s="10" t="s">
        <v>34</v>
      </c>
      <c r="Y114" s="10" t="s">
        <v>591</v>
      </c>
      <c r="Z114" s="10" t="s">
        <v>77</v>
      </c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>
      <c r="A115" s="10" t="s">
        <v>687</v>
      </c>
      <c r="B115" s="10" t="s">
        <v>511</v>
      </c>
      <c r="C115" s="10" t="s">
        <v>90</v>
      </c>
      <c r="D115" s="12" t="s">
        <v>688</v>
      </c>
      <c r="E115" s="16">
        <v>7461911.0</v>
      </c>
      <c r="F115" s="10" t="s">
        <v>689</v>
      </c>
      <c r="G115" s="10" t="s">
        <v>690</v>
      </c>
      <c r="H115" s="10" t="s">
        <v>691</v>
      </c>
      <c r="I115" s="10" t="s">
        <v>611</v>
      </c>
      <c r="J115" s="11" t="s">
        <v>34</v>
      </c>
      <c r="K115" s="11" t="s">
        <v>543</v>
      </c>
      <c r="L115" s="10" t="s">
        <v>685</v>
      </c>
      <c r="M115" s="10"/>
      <c r="N115" s="20" t="s">
        <v>648</v>
      </c>
      <c r="O115" s="10" t="s">
        <v>37</v>
      </c>
      <c r="P115" s="11" t="s">
        <v>74</v>
      </c>
      <c r="Q115" s="10" t="s">
        <v>37</v>
      </c>
      <c r="R115" s="10"/>
      <c r="S115" s="10" t="s">
        <v>34</v>
      </c>
      <c r="T115" s="10" t="s">
        <v>38</v>
      </c>
      <c r="U115" s="10"/>
      <c r="V115" s="10" t="s">
        <v>34</v>
      </c>
      <c r="W115" s="10" t="s">
        <v>34</v>
      </c>
      <c r="X115" s="10" t="s">
        <v>34</v>
      </c>
      <c r="Y115" s="10" t="s">
        <v>692</v>
      </c>
      <c r="Z115" s="10" t="s">
        <v>77</v>
      </c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>
      <c r="A116" s="10" t="s">
        <v>693</v>
      </c>
      <c r="B116" s="10" t="s">
        <v>511</v>
      </c>
      <c r="C116" s="10" t="s">
        <v>90</v>
      </c>
      <c r="D116" s="12" t="s">
        <v>694</v>
      </c>
      <c r="E116" s="16">
        <v>7461060.0</v>
      </c>
      <c r="F116" s="10" t="s">
        <v>695</v>
      </c>
      <c r="G116" s="10" t="s">
        <v>696</v>
      </c>
      <c r="H116" s="10" t="s">
        <v>697</v>
      </c>
      <c r="I116" s="10" t="s">
        <v>569</v>
      </c>
      <c r="J116" s="11" t="s">
        <v>34</v>
      </c>
      <c r="K116" s="11" t="s">
        <v>35</v>
      </c>
      <c r="L116" s="10">
        <v>60.0</v>
      </c>
      <c r="M116" s="10"/>
      <c r="N116" s="20">
        <v>40.0</v>
      </c>
      <c r="O116" s="10" t="s">
        <v>37</v>
      </c>
      <c r="P116" s="10" t="s">
        <v>37</v>
      </c>
      <c r="Q116" s="10" t="s">
        <v>37</v>
      </c>
      <c r="R116" s="10"/>
      <c r="S116" s="10" t="s">
        <v>34</v>
      </c>
      <c r="T116" s="10" t="s">
        <v>38</v>
      </c>
      <c r="U116" s="10"/>
      <c r="V116" s="10" t="s">
        <v>34</v>
      </c>
      <c r="W116" s="10" t="s">
        <v>34</v>
      </c>
      <c r="X116" s="10" t="s">
        <v>34</v>
      </c>
      <c r="Y116" s="10" t="s">
        <v>698</v>
      </c>
      <c r="Z116" s="10" t="s">
        <v>576</v>
      </c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>
      <c r="A117" s="10" t="s">
        <v>699</v>
      </c>
      <c r="B117" s="10" t="s">
        <v>511</v>
      </c>
      <c r="C117" s="10" t="s">
        <v>90</v>
      </c>
      <c r="D117" s="12" t="s">
        <v>700</v>
      </c>
      <c r="E117" s="16">
        <v>7376076.0</v>
      </c>
      <c r="F117" s="10" t="s">
        <v>701</v>
      </c>
      <c r="G117" s="10" t="s">
        <v>702</v>
      </c>
      <c r="H117" s="10" t="s">
        <v>703</v>
      </c>
      <c r="I117" s="10" t="s">
        <v>534</v>
      </c>
      <c r="J117" s="11" t="s">
        <v>34</v>
      </c>
      <c r="K117" s="11" t="s">
        <v>543</v>
      </c>
      <c r="L117" s="10">
        <v>60.0</v>
      </c>
      <c r="M117" s="10"/>
      <c r="N117" s="20">
        <v>30.0</v>
      </c>
      <c r="O117" s="10" t="s">
        <v>37</v>
      </c>
      <c r="P117" s="11" t="s">
        <v>74</v>
      </c>
      <c r="Q117" s="10" t="s">
        <v>37</v>
      </c>
      <c r="R117" s="10"/>
      <c r="S117" s="10" t="s">
        <v>34</v>
      </c>
      <c r="T117" s="10" t="s">
        <v>518</v>
      </c>
      <c r="U117" s="10"/>
      <c r="V117" s="10" t="s">
        <v>34</v>
      </c>
      <c r="W117" s="10" t="s">
        <v>34</v>
      </c>
      <c r="X117" s="10" t="s">
        <v>34</v>
      </c>
      <c r="Y117" s="10" t="s">
        <v>698</v>
      </c>
      <c r="Z117" s="10" t="s">
        <v>704</v>
      </c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10" t="s">
        <v>705</v>
      </c>
      <c r="B118" s="10" t="s">
        <v>511</v>
      </c>
      <c r="C118" s="10" t="s">
        <v>90</v>
      </c>
      <c r="D118" s="12" t="s">
        <v>706</v>
      </c>
      <c r="E118" s="16">
        <v>7376180.0</v>
      </c>
      <c r="F118" s="10" t="s">
        <v>707</v>
      </c>
      <c r="G118" s="10" t="s">
        <v>702</v>
      </c>
      <c r="H118" s="10" t="s">
        <v>708</v>
      </c>
      <c r="I118" s="10" t="s">
        <v>632</v>
      </c>
      <c r="J118" s="11" t="s">
        <v>34</v>
      </c>
      <c r="K118" s="11" t="s">
        <v>35</v>
      </c>
      <c r="L118" s="10">
        <v>50.0</v>
      </c>
      <c r="M118" s="10"/>
      <c r="N118" s="20">
        <v>30.0</v>
      </c>
      <c r="O118" s="10" t="s">
        <v>37</v>
      </c>
      <c r="P118" s="11" t="s">
        <v>74</v>
      </c>
      <c r="Q118" s="10" t="s">
        <v>37</v>
      </c>
      <c r="R118" s="10"/>
      <c r="S118" s="10" t="s">
        <v>34</v>
      </c>
      <c r="T118" s="10" t="s">
        <v>38</v>
      </c>
      <c r="U118" s="10"/>
      <c r="V118" s="10" t="s">
        <v>34</v>
      </c>
      <c r="W118" s="10" t="s">
        <v>34</v>
      </c>
      <c r="X118" s="10" t="s">
        <v>34</v>
      </c>
      <c r="Y118" s="10" t="s">
        <v>519</v>
      </c>
      <c r="Z118" s="10" t="s">
        <v>519</v>
      </c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10" t="s">
        <v>709</v>
      </c>
      <c r="B119" s="10" t="s">
        <v>511</v>
      </c>
      <c r="C119" s="10" t="s">
        <v>90</v>
      </c>
      <c r="D119" s="12" t="s">
        <v>710</v>
      </c>
      <c r="E119" s="16">
        <v>7375674.0</v>
      </c>
      <c r="F119" s="10" t="s">
        <v>711</v>
      </c>
      <c r="G119" s="10" t="s">
        <v>712</v>
      </c>
      <c r="H119" s="10" t="s">
        <v>713</v>
      </c>
      <c r="I119" s="10" t="s">
        <v>534</v>
      </c>
      <c r="J119" s="11" t="s">
        <v>34</v>
      </c>
      <c r="K119" s="10" t="s">
        <v>714</v>
      </c>
      <c r="L119" s="10">
        <v>300.0</v>
      </c>
      <c r="M119" s="10"/>
      <c r="N119" s="20">
        <v>100.0</v>
      </c>
      <c r="O119" s="10" t="s">
        <v>37</v>
      </c>
      <c r="P119" s="11" t="s">
        <v>74</v>
      </c>
      <c r="Q119" s="10" t="s">
        <v>37</v>
      </c>
      <c r="R119" s="10"/>
      <c r="S119" s="10" t="s">
        <v>34</v>
      </c>
      <c r="T119" s="10" t="s">
        <v>38</v>
      </c>
      <c r="U119" s="10"/>
      <c r="V119" s="10" t="s">
        <v>34</v>
      </c>
      <c r="W119" s="10" t="s">
        <v>34</v>
      </c>
      <c r="X119" s="10" t="s">
        <v>34</v>
      </c>
      <c r="Y119" s="10" t="s">
        <v>715</v>
      </c>
      <c r="Z119" s="10" t="s">
        <v>716</v>
      </c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10" t="s">
        <v>717</v>
      </c>
      <c r="B120" s="10" t="s">
        <v>511</v>
      </c>
      <c r="C120" s="10" t="s">
        <v>718</v>
      </c>
      <c r="D120" s="12" t="s">
        <v>719</v>
      </c>
      <c r="E120" s="16">
        <v>5.8877807E7</v>
      </c>
      <c r="F120" s="10" t="s">
        <v>720</v>
      </c>
      <c r="G120" s="10" t="s">
        <v>721</v>
      </c>
      <c r="H120" s="10" t="s">
        <v>722</v>
      </c>
      <c r="I120" s="10" t="s">
        <v>632</v>
      </c>
      <c r="J120" s="11" t="s">
        <v>34</v>
      </c>
      <c r="K120" s="11" t="s">
        <v>543</v>
      </c>
      <c r="L120" s="10">
        <v>120.0</v>
      </c>
      <c r="M120" s="10"/>
      <c r="N120" s="20"/>
      <c r="O120" s="10" t="s">
        <v>37</v>
      </c>
      <c r="P120" s="10" t="s">
        <v>37</v>
      </c>
      <c r="Q120" s="10" t="s">
        <v>37</v>
      </c>
      <c r="R120" s="10"/>
      <c r="S120" s="10" t="s">
        <v>38</v>
      </c>
      <c r="T120" s="10" t="s">
        <v>518</v>
      </c>
      <c r="U120" s="10"/>
      <c r="V120" s="10" t="s">
        <v>38</v>
      </c>
      <c r="W120" s="10" t="s">
        <v>34</v>
      </c>
      <c r="X120" s="10" t="s">
        <v>34</v>
      </c>
      <c r="Y120" s="10" t="s">
        <v>698</v>
      </c>
      <c r="Z120" s="10" t="s">
        <v>723</v>
      </c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10" t="s">
        <v>724</v>
      </c>
      <c r="B121" s="10" t="s">
        <v>511</v>
      </c>
      <c r="C121" s="10" t="s">
        <v>718</v>
      </c>
      <c r="D121" s="12" t="s">
        <v>725</v>
      </c>
      <c r="E121" s="16">
        <v>6336020.0</v>
      </c>
      <c r="F121" s="10" t="s">
        <v>726</v>
      </c>
      <c r="G121" s="10"/>
      <c r="H121" s="10" t="s">
        <v>727</v>
      </c>
      <c r="I121" s="10">
        <v>511.0</v>
      </c>
      <c r="J121" s="11" t="s">
        <v>34</v>
      </c>
      <c r="K121" s="11" t="s">
        <v>543</v>
      </c>
      <c r="L121" s="10">
        <v>264.0</v>
      </c>
      <c r="M121" s="10"/>
      <c r="N121" s="20">
        <v>121.0</v>
      </c>
      <c r="O121" s="10" t="s">
        <v>37</v>
      </c>
      <c r="P121" s="10" t="s">
        <v>37</v>
      </c>
      <c r="Q121" s="10" t="s">
        <v>37</v>
      </c>
      <c r="R121" s="10"/>
      <c r="S121" s="10" t="s">
        <v>38</v>
      </c>
      <c r="T121" s="10" t="s">
        <v>38</v>
      </c>
      <c r="U121" s="10"/>
      <c r="V121" s="10" t="s">
        <v>34</v>
      </c>
      <c r="W121" s="10" t="s">
        <v>34</v>
      </c>
      <c r="X121" s="10" t="s">
        <v>34</v>
      </c>
      <c r="Y121" s="10" t="s">
        <v>546</v>
      </c>
      <c r="Z121" s="10" t="s">
        <v>77</v>
      </c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10" t="s">
        <v>728</v>
      </c>
      <c r="B122" s="10" t="s">
        <v>511</v>
      </c>
      <c r="C122" s="10" t="s">
        <v>718</v>
      </c>
      <c r="D122" s="12" t="s">
        <v>725</v>
      </c>
      <c r="E122" s="16">
        <v>6336020.0</v>
      </c>
      <c r="F122" s="10" t="s">
        <v>726</v>
      </c>
      <c r="G122" s="10"/>
      <c r="H122" s="10" t="s">
        <v>729</v>
      </c>
      <c r="I122" s="10">
        <v>947.0</v>
      </c>
      <c r="J122" s="11" t="s">
        <v>34</v>
      </c>
      <c r="K122" s="11" t="s">
        <v>543</v>
      </c>
      <c r="L122" s="10">
        <v>317.0</v>
      </c>
      <c r="M122" s="10"/>
      <c r="N122" s="20">
        <v>163.0</v>
      </c>
      <c r="O122" s="10" t="s">
        <v>37</v>
      </c>
      <c r="P122" s="10" t="s">
        <v>37</v>
      </c>
      <c r="Q122" s="10" t="s">
        <v>37</v>
      </c>
      <c r="R122" s="10"/>
      <c r="S122" s="10" t="s">
        <v>38</v>
      </c>
      <c r="T122" s="10" t="s">
        <v>38</v>
      </c>
      <c r="U122" s="10"/>
      <c r="V122" s="10" t="s">
        <v>34</v>
      </c>
      <c r="W122" s="10" t="s">
        <v>34</v>
      </c>
      <c r="X122" s="10" t="s">
        <v>34</v>
      </c>
      <c r="Y122" s="10" t="s">
        <v>546</v>
      </c>
      <c r="Z122" s="10" t="s">
        <v>77</v>
      </c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10" t="s">
        <v>730</v>
      </c>
      <c r="B123" s="10" t="s">
        <v>511</v>
      </c>
      <c r="C123" s="10" t="s">
        <v>718</v>
      </c>
      <c r="D123" s="12" t="s">
        <v>731</v>
      </c>
      <c r="E123" s="16">
        <v>5.5631359E7</v>
      </c>
      <c r="F123" s="10" t="s">
        <v>732</v>
      </c>
      <c r="G123" s="10" t="s">
        <v>733</v>
      </c>
      <c r="H123" s="10" t="s">
        <v>734</v>
      </c>
      <c r="I123" s="10" t="s">
        <v>735</v>
      </c>
      <c r="J123" s="11" t="s">
        <v>34</v>
      </c>
      <c r="K123" s="11" t="s">
        <v>543</v>
      </c>
      <c r="L123" s="10">
        <v>238.0</v>
      </c>
      <c r="M123" s="10" t="s">
        <v>736</v>
      </c>
      <c r="N123" s="20">
        <v>100.0</v>
      </c>
      <c r="O123" s="10" t="s">
        <v>37</v>
      </c>
      <c r="P123" s="10" t="s">
        <v>37</v>
      </c>
      <c r="Q123" s="10" t="s">
        <v>37</v>
      </c>
      <c r="R123" s="10"/>
      <c r="S123" s="10" t="s">
        <v>34</v>
      </c>
      <c r="T123" s="10" t="s">
        <v>518</v>
      </c>
      <c r="U123" s="10"/>
      <c r="V123" s="10" t="s">
        <v>34</v>
      </c>
      <c r="W123" s="10" t="s">
        <v>34</v>
      </c>
      <c r="X123" s="10" t="s">
        <v>34</v>
      </c>
      <c r="Y123" s="10" t="s">
        <v>519</v>
      </c>
      <c r="Z123" s="10" t="s">
        <v>77</v>
      </c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10" t="s">
        <v>737</v>
      </c>
      <c r="B124" s="10" t="s">
        <v>511</v>
      </c>
      <c r="C124" s="15" t="s">
        <v>112</v>
      </c>
      <c r="D124" s="12" t="s">
        <v>738</v>
      </c>
      <c r="E124" s="16">
        <v>7361370.0</v>
      </c>
      <c r="F124" s="10" t="s">
        <v>739</v>
      </c>
      <c r="G124" s="10" t="s">
        <v>740</v>
      </c>
      <c r="H124" s="10" t="s">
        <v>741</v>
      </c>
      <c r="I124" s="10" t="s">
        <v>569</v>
      </c>
      <c r="J124" s="11" t="s">
        <v>34</v>
      </c>
      <c r="K124" s="10" t="s">
        <v>742</v>
      </c>
      <c r="L124" s="10">
        <v>85.0</v>
      </c>
      <c r="M124" s="10"/>
      <c r="N124" s="20"/>
      <c r="O124" s="10" t="s">
        <v>37</v>
      </c>
      <c r="P124" s="11" t="s">
        <v>74</v>
      </c>
      <c r="Q124" s="10" t="s">
        <v>37</v>
      </c>
      <c r="R124" s="10"/>
      <c r="S124" s="10" t="s">
        <v>34</v>
      </c>
      <c r="T124" s="10" t="s">
        <v>518</v>
      </c>
      <c r="U124" s="10"/>
      <c r="V124" s="10" t="s">
        <v>34</v>
      </c>
      <c r="W124" s="10" t="s">
        <v>34</v>
      </c>
      <c r="X124" s="10" t="s">
        <v>34</v>
      </c>
      <c r="Y124" s="10" t="s">
        <v>640</v>
      </c>
      <c r="Z124" s="10" t="s">
        <v>77</v>
      </c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10" t="s">
        <v>743</v>
      </c>
      <c r="B125" s="10" t="s">
        <v>511</v>
      </c>
      <c r="C125" s="15" t="s">
        <v>112</v>
      </c>
      <c r="D125" s="12" t="s">
        <v>744</v>
      </c>
      <c r="E125" s="16">
        <v>7375727.0</v>
      </c>
      <c r="F125" s="10" t="s">
        <v>745</v>
      </c>
      <c r="G125" s="10" t="s">
        <v>746</v>
      </c>
      <c r="H125" s="10" t="s">
        <v>747</v>
      </c>
      <c r="I125" s="10" t="s">
        <v>748</v>
      </c>
      <c r="J125" s="11" t="s">
        <v>34</v>
      </c>
      <c r="K125" s="11" t="s">
        <v>543</v>
      </c>
      <c r="L125" s="10">
        <v>200.0</v>
      </c>
      <c r="M125" s="10"/>
      <c r="N125" s="20">
        <v>58.0</v>
      </c>
      <c r="O125" s="10" t="s">
        <v>37</v>
      </c>
      <c r="P125" s="11" t="s">
        <v>74</v>
      </c>
      <c r="Q125" s="10" t="s">
        <v>37</v>
      </c>
      <c r="R125" s="10"/>
      <c r="S125" s="10" t="s">
        <v>34</v>
      </c>
      <c r="T125" s="10" t="s">
        <v>679</v>
      </c>
      <c r="U125" s="10"/>
      <c r="V125" s="10" t="s">
        <v>34</v>
      </c>
      <c r="W125" s="10" t="s">
        <v>34</v>
      </c>
      <c r="X125" s="10" t="s">
        <v>34</v>
      </c>
      <c r="Y125" s="10" t="s">
        <v>640</v>
      </c>
      <c r="Z125" s="10" t="s">
        <v>749</v>
      </c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10" t="s">
        <v>750</v>
      </c>
      <c r="B126" s="10" t="s">
        <v>511</v>
      </c>
      <c r="C126" s="10" t="s">
        <v>674</v>
      </c>
      <c r="D126" s="12" t="s">
        <v>751</v>
      </c>
      <c r="E126" s="16">
        <v>5.8601704E7</v>
      </c>
      <c r="F126" s="10" t="s">
        <v>752</v>
      </c>
      <c r="G126" s="10" t="s">
        <v>753</v>
      </c>
      <c r="H126" s="10" t="s">
        <v>754</v>
      </c>
      <c r="I126" s="10" t="s">
        <v>632</v>
      </c>
      <c r="J126" s="11" t="s">
        <v>34</v>
      </c>
      <c r="K126" s="11" t="s">
        <v>35</v>
      </c>
      <c r="L126" s="10">
        <v>100.0</v>
      </c>
      <c r="M126" s="10"/>
      <c r="N126" s="20">
        <v>45.0</v>
      </c>
      <c r="O126" s="10" t="s">
        <v>37</v>
      </c>
      <c r="P126" s="11" t="s">
        <v>74</v>
      </c>
      <c r="Q126" s="10" t="s">
        <v>37</v>
      </c>
      <c r="R126" s="10"/>
      <c r="S126" s="10" t="s">
        <v>34</v>
      </c>
      <c r="T126" s="10" t="s">
        <v>518</v>
      </c>
      <c r="U126" s="10"/>
      <c r="V126" s="10" t="s">
        <v>34</v>
      </c>
      <c r="W126" s="10" t="s">
        <v>34</v>
      </c>
      <c r="X126" s="10" t="s">
        <v>34</v>
      </c>
      <c r="Y126" s="10" t="s">
        <v>640</v>
      </c>
      <c r="Z126" s="10" t="s">
        <v>755</v>
      </c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10" t="s">
        <v>756</v>
      </c>
      <c r="B127" s="10" t="s">
        <v>511</v>
      </c>
      <c r="C127" s="10" t="s">
        <v>29</v>
      </c>
      <c r="D127" s="12" t="s">
        <v>757</v>
      </c>
      <c r="E127" s="16">
        <v>5.8601704E7</v>
      </c>
      <c r="F127" s="10" t="s">
        <v>752</v>
      </c>
      <c r="G127" s="10" t="s">
        <v>753</v>
      </c>
      <c r="H127" s="10" t="s">
        <v>758</v>
      </c>
      <c r="I127" s="10" t="s">
        <v>569</v>
      </c>
      <c r="J127" s="11" t="s">
        <v>34</v>
      </c>
      <c r="K127" s="11" t="s">
        <v>35</v>
      </c>
      <c r="L127" s="10">
        <v>45.0</v>
      </c>
      <c r="M127" s="10"/>
      <c r="N127" s="20"/>
      <c r="O127" s="10" t="s">
        <v>37</v>
      </c>
      <c r="P127" s="11" t="s">
        <v>74</v>
      </c>
      <c r="Q127" s="10" t="s">
        <v>37</v>
      </c>
      <c r="R127" s="10"/>
      <c r="S127" s="10" t="s">
        <v>34</v>
      </c>
      <c r="T127" s="10" t="s">
        <v>518</v>
      </c>
      <c r="U127" s="10"/>
      <c r="V127" s="10" t="s">
        <v>34</v>
      </c>
      <c r="W127" s="10" t="s">
        <v>34</v>
      </c>
      <c r="X127" s="10" t="s">
        <v>34</v>
      </c>
      <c r="Y127" s="10" t="s">
        <v>519</v>
      </c>
      <c r="Z127" s="10" t="s">
        <v>759</v>
      </c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>
      <c r="A128" s="10" t="s">
        <v>760</v>
      </c>
      <c r="B128" s="10" t="s">
        <v>511</v>
      </c>
      <c r="C128" s="10" t="s">
        <v>79</v>
      </c>
      <c r="D128" s="12" t="s">
        <v>761</v>
      </c>
      <c r="E128" s="16">
        <v>5063448.0</v>
      </c>
      <c r="F128" s="10" t="s">
        <v>762</v>
      </c>
      <c r="G128" s="10" t="s">
        <v>763</v>
      </c>
      <c r="H128" s="10" t="s">
        <v>764</v>
      </c>
      <c r="I128" s="10">
        <v>380.0</v>
      </c>
      <c r="J128" s="11" t="s">
        <v>34</v>
      </c>
      <c r="K128" s="11" t="s">
        <v>543</v>
      </c>
      <c r="L128" s="10">
        <v>280.0</v>
      </c>
      <c r="M128" s="10" t="s">
        <v>765</v>
      </c>
      <c r="N128" s="20">
        <v>100.0</v>
      </c>
      <c r="O128" s="11" t="s">
        <v>74</v>
      </c>
      <c r="P128" s="11" t="s">
        <v>74</v>
      </c>
      <c r="Q128" s="11" t="s">
        <v>74</v>
      </c>
      <c r="R128" s="10"/>
      <c r="S128" s="10" t="s">
        <v>38</v>
      </c>
      <c r="T128" s="10" t="s">
        <v>518</v>
      </c>
      <c r="U128" s="10"/>
      <c r="V128" s="10" t="s">
        <v>38</v>
      </c>
      <c r="W128" s="10" t="s">
        <v>34</v>
      </c>
      <c r="X128" s="10" t="s">
        <v>34</v>
      </c>
      <c r="Y128" s="10" t="s">
        <v>519</v>
      </c>
      <c r="Z128" s="10" t="s">
        <v>77</v>
      </c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>
      <c r="A129" s="10" t="s">
        <v>766</v>
      </c>
      <c r="B129" s="10" t="s">
        <v>511</v>
      </c>
      <c r="C129" s="10" t="s">
        <v>79</v>
      </c>
      <c r="D129" s="12" t="s">
        <v>761</v>
      </c>
      <c r="E129" s="16">
        <v>5063448.0</v>
      </c>
      <c r="F129" s="10" t="s">
        <v>762</v>
      </c>
      <c r="G129" s="10" t="s">
        <v>763</v>
      </c>
      <c r="H129" s="10" t="s">
        <v>767</v>
      </c>
      <c r="I129" s="10" t="s">
        <v>768</v>
      </c>
      <c r="J129" s="11" t="s">
        <v>34</v>
      </c>
      <c r="K129" s="11" t="s">
        <v>35</v>
      </c>
      <c r="L129" s="10">
        <v>2000.0</v>
      </c>
      <c r="M129" s="10"/>
      <c r="N129" s="20"/>
      <c r="O129" s="11" t="s">
        <v>74</v>
      </c>
      <c r="P129" s="11" t="s">
        <v>74</v>
      </c>
      <c r="Q129" s="11" t="s">
        <v>74</v>
      </c>
      <c r="R129" s="10"/>
      <c r="S129" s="10" t="s">
        <v>34</v>
      </c>
      <c r="T129" s="10" t="s">
        <v>518</v>
      </c>
      <c r="U129" s="10"/>
      <c r="V129" s="10" t="s">
        <v>34</v>
      </c>
      <c r="W129" s="10" t="s">
        <v>34</v>
      </c>
      <c r="X129" s="10" t="s">
        <v>34</v>
      </c>
      <c r="Y129" s="10" t="s">
        <v>519</v>
      </c>
      <c r="Z129" s="10" t="s">
        <v>77</v>
      </c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>
      <c r="A130" s="10" t="s">
        <v>769</v>
      </c>
      <c r="B130" s="10" t="s">
        <v>511</v>
      </c>
      <c r="C130" s="10" t="s">
        <v>674</v>
      </c>
      <c r="D130" s="12" t="s">
        <v>770</v>
      </c>
      <c r="E130" s="16">
        <v>7349954.0</v>
      </c>
      <c r="F130" s="10" t="s">
        <v>771</v>
      </c>
      <c r="G130" s="10" t="s">
        <v>772</v>
      </c>
      <c r="H130" s="10" t="s">
        <v>773</v>
      </c>
      <c r="I130" s="10" t="s">
        <v>632</v>
      </c>
      <c r="J130" s="11" t="s">
        <v>34</v>
      </c>
      <c r="K130" s="11" t="s">
        <v>35</v>
      </c>
      <c r="L130" s="10">
        <v>100.0</v>
      </c>
      <c r="M130" s="10"/>
      <c r="N130" s="20"/>
      <c r="O130" s="10" t="s">
        <v>37</v>
      </c>
      <c r="P130" s="11" t="s">
        <v>74</v>
      </c>
      <c r="Q130" s="10" t="s">
        <v>37</v>
      </c>
      <c r="R130" s="10"/>
      <c r="S130" s="10" t="s">
        <v>34</v>
      </c>
      <c r="T130" s="10" t="s">
        <v>774</v>
      </c>
      <c r="U130" s="10"/>
      <c r="V130" s="10" t="s">
        <v>34</v>
      </c>
      <c r="W130" s="10" t="s">
        <v>34</v>
      </c>
      <c r="X130" s="10" t="s">
        <v>34</v>
      </c>
      <c r="Y130" s="10" t="s">
        <v>519</v>
      </c>
      <c r="Z130" s="10" t="s">
        <v>77</v>
      </c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>
      <c r="A131" s="10" t="s">
        <v>775</v>
      </c>
      <c r="B131" s="10" t="s">
        <v>511</v>
      </c>
      <c r="C131" s="10" t="s">
        <v>674</v>
      </c>
      <c r="D131" s="12" t="s">
        <v>776</v>
      </c>
      <c r="E131" s="16">
        <v>7442170.0</v>
      </c>
      <c r="F131" s="10" t="s">
        <v>777</v>
      </c>
      <c r="G131" s="10" t="s">
        <v>778</v>
      </c>
      <c r="H131" s="10" t="s">
        <v>779</v>
      </c>
      <c r="I131" s="10" t="s">
        <v>780</v>
      </c>
      <c r="J131" s="11" t="s">
        <v>38</v>
      </c>
      <c r="K131" s="10"/>
      <c r="L131" s="10"/>
      <c r="M131" s="10"/>
      <c r="N131" s="20"/>
      <c r="O131" s="11" t="s">
        <v>74</v>
      </c>
      <c r="P131" s="11" t="s">
        <v>74</v>
      </c>
      <c r="Q131" s="11" t="s">
        <v>74</v>
      </c>
      <c r="R131" s="10"/>
      <c r="S131" s="10" t="s">
        <v>34</v>
      </c>
      <c r="T131" s="10" t="s">
        <v>774</v>
      </c>
      <c r="U131" s="10"/>
      <c r="V131" s="10" t="s">
        <v>34</v>
      </c>
      <c r="W131" s="10" t="s">
        <v>34</v>
      </c>
      <c r="X131" s="10" t="s">
        <v>34</v>
      </c>
      <c r="Y131" s="10" t="s">
        <v>519</v>
      </c>
      <c r="Z131" s="10" t="s">
        <v>77</v>
      </c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>
      <c r="A132" s="10" t="s">
        <v>781</v>
      </c>
      <c r="B132" s="10" t="s">
        <v>511</v>
      </c>
      <c r="C132" s="10" t="s">
        <v>674</v>
      </c>
      <c r="D132" s="12" t="s">
        <v>782</v>
      </c>
      <c r="E132" s="16">
        <v>5.5607971E7</v>
      </c>
      <c r="F132" s="10" t="s">
        <v>783</v>
      </c>
      <c r="G132" s="10" t="s">
        <v>784</v>
      </c>
      <c r="H132" s="10" t="s">
        <v>785</v>
      </c>
      <c r="I132" s="10" t="s">
        <v>618</v>
      </c>
      <c r="J132" s="11" t="s">
        <v>34</v>
      </c>
      <c r="K132" s="11" t="s">
        <v>35</v>
      </c>
      <c r="L132" s="10">
        <v>20.0</v>
      </c>
      <c r="M132" s="10"/>
      <c r="N132" s="20"/>
      <c r="O132" s="11" t="s">
        <v>74</v>
      </c>
      <c r="P132" s="11" t="s">
        <v>74</v>
      </c>
      <c r="Q132" s="10" t="s">
        <v>37</v>
      </c>
      <c r="R132" s="10"/>
      <c r="S132" s="10" t="s">
        <v>34</v>
      </c>
      <c r="T132" s="10" t="s">
        <v>545</v>
      </c>
      <c r="U132" s="10"/>
      <c r="V132" s="10" t="s">
        <v>34</v>
      </c>
      <c r="W132" s="10" t="s">
        <v>34</v>
      </c>
      <c r="X132" s="10" t="s">
        <v>34</v>
      </c>
      <c r="Y132" s="10" t="s">
        <v>519</v>
      </c>
      <c r="Z132" s="10" t="s">
        <v>786</v>
      </c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>
      <c r="A133" s="10" t="s">
        <v>787</v>
      </c>
      <c r="B133" s="10" t="s">
        <v>511</v>
      </c>
      <c r="C133" s="10" t="s">
        <v>29</v>
      </c>
      <c r="D133" s="12" t="s">
        <v>788</v>
      </c>
      <c r="E133" s="16">
        <v>7361560.0</v>
      </c>
      <c r="F133" s="10" t="s">
        <v>789</v>
      </c>
      <c r="G133" s="10" t="s">
        <v>790</v>
      </c>
      <c r="H133" s="10" t="s">
        <v>791</v>
      </c>
      <c r="I133" s="10" t="s">
        <v>632</v>
      </c>
      <c r="J133" s="11" t="s">
        <v>34</v>
      </c>
      <c r="K133" s="11" t="s">
        <v>543</v>
      </c>
      <c r="L133" s="10">
        <v>100.0</v>
      </c>
      <c r="M133" s="10" t="s">
        <v>792</v>
      </c>
      <c r="N133" s="20">
        <v>40.0</v>
      </c>
      <c r="O133" s="10" t="s">
        <v>37</v>
      </c>
      <c r="P133" s="10" t="s">
        <v>37</v>
      </c>
      <c r="Q133" s="10" t="s">
        <v>37</v>
      </c>
      <c r="R133" s="10"/>
      <c r="S133" s="10" t="s">
        <v>38</v>
      </c>
      <c r="T133" s="10" t="s">
        <v>518</v>
      </c>
      <c r="U133" s="10"/>
      <c r="V133" s="10" t="s">
        <v>38</v>
      </c>
      <c r="W133" s="10" t="s">
        <v>34</v>
      </c>
      <c r="X133" s="10" t="s">
        <v>34</v>
      </c>
      <c r="Y133" s="10" t="s">
        <v>640</v>
      </c>
      <c r="Z133" s="10" t="s">
        <v>77</v>
      </c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10" t="s">
        <v>793</v>
      </c>
      <c r="B134" s="10" t="s">
        <v>511</v>
      </c>
      <c r="C134" s="10" t="s">
        <v>29</v>
      </c>
      <c r="D134" s="12" t="s">
        <v>794</v>
      </c>
      <c r="E134" s="16">
        <v>7302400.0</v>
      </c>
      <c r="F134" s="10" t="s">
        <v>795</v>
      </c>
      <c r="G134" s="10" t="s">
        <v>796</v>
      </c>
      <c r="H134" s="10" t="s">
        <v>797</v>
      </c>
      <c r="I134" s="10" t="s">
        <v>534</v>
      </c>
      <c r="J134" s="11" t="s">
        <v>34</v>
      </c>
      <c r="K134" s="11" t="s">
        <v>543</v>
      </c>
      <c r="L134" s="10">
        <v>300.0</v>
      </c>
      <c r="M134" s="10" t="s">
        <v>798</v>
      </c>
      <c r="N134" s="20">
        <v>100.0</v>
      </c>
      <c r="O134" s="10" t="s">
        <v>37</v>
      </c>
      <c r="P134" s="10" t="s">
        <v>37</v>
      </c>
      <c r="Q134" s="10" t="s">
        <v>37</v>
      </c>
      <c r="R134" s="10"/>
      <c r="S134" s="10" t="s">
        <v>34</v>
      </c>
      <c r="T134" s="10" t="s">
        <v>518</v>
      </c>
      <c r="U134" s="10"/>
      <c r="V134" s="10" t="s">
        <v>38</v>
      </c>
      <c r="W134" s="10" t="s">
        <v>34</v>
      </c>
      <c r="X134" s="10" t="s">
        <v>34</v>
      </c>
      <c r="Y134" s="10" t="s">
        <v>640</v>
      </c>
      <c r="Z134" s="10" t="s">
        <v>799</v>
      </c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10" t="s">
        <v>800</v>
      </c>
      <c r="B135" s="10" t="s">
        <v>511</v>
      </c>
      <c r="C135" s="11" t="s">
        <v>801</v>
      </c>
      <c r="D135" s="12" t="s">
        <v>802</v>
      </c>
      <c r="E135" s="16">
        <v>5.348553E7</v>
      </c>
      <c r="F135" s="10" t="s">
        <v>803</v>
      </c>
      <c r="G135" s="10" t="s">
        <v>804</v>
      </c>
      <c r="H135" s="10" t="s">
        <v>805</v>
      </c>
      <c r="I135" s="10" t="s">
        <v>806</v>
      </c>
      <c r="J135" s="11" t="s">
        <v>34</v>
      </c>
      <c r="K135" s="11" t="s">
        <v>543</v>
      </c>
      <c r="L135" s="10">
        <v>400.0</v>
      </c>
      <c r="M135" s="10" t="s">
        <v>807</v>
      </c>
      <c r="N135" s="20">
        <v>80.0</v>
      </c>
      <c r="O135" s="10" t="s">
        <v>37</v>
      </c>
      <c r="P135" s="10" t="s">
        <v>37</v>
      </c>
      <c r="Q135" s="10" t="s">
        <v>37</v>
      </c>
      <c r="R135" s="10"/>
      <c r="S135" s="10" t="s">
        <v>34</v>
      </c>
      <c r="T135" s="10" t="s">
        <v>518</v>
      </c>
      <c r="U135" s="10"/>
      <c r="V135" s="10" t="s">
        <v>34</v>
      </c>
      <c r="W135" s="10" t="s">
        <v>34</v>
      </c>
      <c r="X135" s="10" t="s">
        <v>34</v>
      </c>
      <c r="Y135" s="10" t="s">
        <v>519</v>
      </c>
      <c r="Z135" s="10" t="s">
        <v>808</v>
      </c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10" t="s">
        <v>809</v>
      </c>
      <c r="B136" s="10" t="s">
        <v>511</v>
      </c>
      <c r="C136" s="11" t="s">
        <v>801</v>
      </c>
      <c r="D136" s="12" t="s">
        <v>810</v>
      </c>
      <c r="E136" s="16">
        <v>5094902.0</v>
      </c>
      <c r="F136" s="10" t="s">
        <v>811</v>
      </c>
      <c r="G136" s="10" t="s">
        <v>812</v>
      </c>
      <c r="H136" s="10" t="s">
        <v>623</v>
      </c>
      <c r="I136" s="10" t="s">
        <v>534</v>
      </c>
      <c r="J136" s="11" t="s">
        <v>34</v>
      </c>
      <c r="K136" s="11" t="s">
        <v>35</v>
      </c>
      <c r="L136" s="10">
        <v>250.0</v>
      </c>
      <c r="M136" s="10"/>
      <c r="N136" s="20">
        <v>150.0</v>
      </c>
      <c r="O136" s="10" t="s">
        <v>37</v>
      </c>
      <c r="P136" s="10" t="s">
        <v>37</v>
      </c>
      <c r="Q136" s="10" t="s">
        <v>37</v>
      </c>
      <c r="R136" s="10"/>
      <c r="S136" s="10" t="s">
        <v>34</v>
      </c>
      <c r="T136" s="10" t="s">
        <v>518</v>
      </c>
      <c r="U136" s="10"/>
      <c r="V136" s="10" t="s">
        <v>34</v>
      </c>
      <c r="W136" s="10" t="s">
        <v>34</v>
      </c>
      <c r="X136" s="10" t="s">
        <v>34</v>
      </c>
      <c r="Y136" s="10" t="s">
        <v>546</v>
      </c>
      <c r="Z136" s="10" t="s">
        <v>626</v>
      </c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10" t="s">
        <v>813</v>
      </c>
      <c r="B137" s="10" t="s">
        <v>511</v>
      </c>
      <c r="C137" s="11" t="s">
        <v>801</v>
      </c>
      <c r="D137" s="12" t="s">
        <v>814</v>
      </c>
      <c r="E137" s="16">
        <v>7424341.0</v>
      </c>
      <c r="F137" s="10" t="s">
        <v>815</v>
      </c>
      <c r="G137" s="10" t="s">
        <v>816</v>
      </c>
      <c r="H137" s="10" t="s">
        <v>817</v>
      </c>
      <c r="I137" s="10" t="s">
        <v>818</v>
      </c>
      <c r="J137" s="11" t="s">
        <v>34</v>
      </c>
      <c r="K137" s="11" t="s">
        <v>35</v>
      </c>
      <c r="L137" s="10">
        <v>1000.0</v>
      </c>
      <c r="M137" s="10" t="s">
        <v>736</v>
      </c>
      <c r="N137" s="20">
        <v>200.0</v>
      </c>
      <c r="O137" s="10" t="s">
        <v>37</v>
      </c>
      <c r="P137" s="10" t="s">
        <v>37</v>
      </c>
      <c r="Q137" s="10" t="s">
        <v>37</v>
      </c>
      <c r="R137" s="10"/>
      <c r="S137" s="10" t="s">
        <v>38</v>
      </c>
      <c r="T137" s="10" t="s">
        <v>518</v>
      </c>
      <c r="U137" s="10"/>
      <c r="V137" s="10" t="s">
        <v>34</v>
      </c>
      <c r="W137" s="10" t="s">
        <v>34</v>
      </c>
      <c r="X137" s="10" t="s">
        <v>34</v>
      </c>
      <c r="Y137" s="10" t="s">
        <v>519</v>
      </c>
      <c r="Z137" s="10" t="s">
        <v>77</v>
      </c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10" t="s">
        <v>819</v>
      </c>
      <c r="B138" s="10" t="s">
        <v>511</v>
      </c>
      <c r="C138" s="11" t="s">
        <v>801</v>
      </c>
      <c r="D138" s="12" t="s">
        <v>820</v>
      </c>
      <c r="E138" s="16">
        <v>7422098.0</v>
      </c>
      <c r="F138" s="10" t="s">
        <v>821</v>
      </c>
      <c r="G138" s="10" t="s">
        <v>822</v>
      </c>
      <c r="H138" s="10" t="s">
        <v>823</v>
      </c>
      <c r="I138" s="10" t="s">
        <v>534</v>
      </c>
      <c r="J138" s="11" t="s">
        <v>34</v>
      </c>
      <c r="K138" s="11" t="s">
        <v>543</v>
      </c>
      <c r="L138" s="10">
        <v>200.0</v>
      </c>
      <c r="M138" s="10" t="s">
        <v>824</v>
      </c>
      <c r="N138" s="20">
        <v>50.0</v>
      </c>
      <c r="O138" s="10" t="s">
        <v>37</v>
      </c>
      <c r="P138" s="10" t="s">
        <v>37</v>
      </c>
      <c r="Q138" s="10" t="s">
        <v>37</v>
      </c>
      <c r="R138" s="10"/>
      <c r="S138" s="10" t="s">
        <v>38</v>
      </c>
      <c r="T138" s="10" t="s">
        <v>518</v>
      </c>
      <c r="U138" s="10"/>
      <c r="V138" s="10" t="s">
        <v>38</v>
      </c>
      <c r="W138" s="10" t="s">
        <v>34</v>
      </c>
      <c r="X138" s="10" t="s">
        <v>34</v>
      </c>
      <c r="Y138" s="10" t="s">
        <v>640</v>
      </c>
      <c r="Z138" s="10" t="s">
        <v>825</v>
      </c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10" t="s">
        <v>826</v>
      </c>
      <c r="B139" s="10" t="s">
        <v>511</v>
      </c>
      <c r="C139" s="11" t="s">
        <v>801</v>
      </c>
      <c r="D139" s="12" t="s">
        <v>827</v>
      </c>
      <c r="E139" s="16">
        <v>7366273.0</v>
      </c>
      <c r="F139" s="10" t="s">
        <v>828</v>
      </c>
      <c r="G139" s="10" t="s">
        <v>829</v>
      </c>
      <c r="H139" s="10" t="s">
        <v>830</v>
      </c>
      <c r="I139" s="10" t="s">
        <v>831</v>
      </c>
      <c r="J139" s="11" t="s">
        <v>34</v>
      </c>
      <c r="K139" s="10" t="s">
        <v>714</v>
      </c>
      <c r="L139" s="10">
        <v>300.0</v>
      </c>
      <c r="M139" s="10"/>
      <c r="N139" s="20">
        <v>50.0</v>
      </c>
      <c r="O139" s="10" t="s">
        <v>37</v>
      </c>
      <c r="P139" s="10" t="s">
        <v>37</v>
      </c>
      <c r="Q139" s="10" t="s">
        <v>37</v>
      </c>
      <c r="R139" s="10"/>
      <c r="S139" s="10" t="s">
        <v>38</v>
      </c>
      <c r="T139" s="10" t="s">
        <v>518</v>
      </c>
      <c r="U139" s="10"/>
      <c r="V139" s="10" t="s">
        <v>38</v>
      </c>
      <c r="W139" s="10" t="s">
        <v>34</v>
      </c>
      <c r="X139" s="10" t="s">
        <v>34</v>
      </c>
      <c r="Y139" s="10" t="s">
        <v>519</v>
      </c>
      <c r="Z139" s="10" t="s">
        <v>77</v>
      </c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10" t="s">
        <v>832</v>
      </c>
      <c r="B140" s="10" t="s">
        <v>511</v>
      </c>
      <c r="C140" s="11" t="s">
        <v>801</v>
      </c>
      <c r="D140" s="12" t="s">
        <v>833</v>
      </c>
      <c r="E140" s="16">
        <v>6606693.0</v>
      </c>
      <c r="F140" s="10" t="s">
        <v>834</v>
      </c>
      <c r="G140" s="10" t="s">
        <v>835</v>
      </c>
      <c r="H140" s="10" t="s">
        <v>836</v>
      </c>
      <c r="I140" s="10" t="s">
        <v>831</v>
      </c>
      <c r="J140" s="11" t="s">
        <v>34</v>
      </c>
      <c r="K140" s="11" t="s">
        <v>543</v>
      </c>
      <c r="L140" s="10">
        <v>300.0</v>
      </c>
      <c r="M140" s="10"/>
      <c r="N140" s="20">
        <v>50.0</v>
      </c>
      <c r="O140" s="10" t="s">
        <v>37</v>
      </c>
      <c r="P140" s="10" t="s">
        <v>37</v>
      </c>
      <c r="Q140" s="10" t="s">
        <v>37</v>
      </c>
      <c r="R140" s="10"/>
      <c r="S140" s="10" t="s">
        <v>38</v>
      </c>
      <c r="T140" s="10" t="s">
        <v>38</v>
      </c>
      <c r="U140" s="10"/>
      <c r="V140" s="10" t="s">
        <v>38</v>
      </c>
      <c r="W140" s="10" t="s">
        <v>34</v>
      </c>
      <c r="X140" s="10" t="s">
        <v>34</v>
      </c>
      <c r="Y140" s="10" t="s">
        <v>519</v>
      </c>
      <c r="Z140" s="10" t="s">
        <v>77</v>
      </c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10" t="s">
        <v>837</v>
      </c>
      <c r="B141" s="10" t="s">
        <v>511</v>
      </c>
      <c r="C141" s="10" t="s">
        <v>79</v>
      </c>
      <c r="D141" s="12" t="s">
        <v>838</v>
      </c>
      <c r="E141" s="16">
        <v>5.5697124E7</v>
      </c>
      <c r="F141" s="10" t="s">
        <v>839</v>
      </c>
      <c r="G141" s="10" t="s">
        <v>840</v>
      </c>
      <c r="H141" s="10" t="s">
        <v>785</v>
      </c>
      <c r="I141" s="10" t="s">
        <v>831</v>
      </c>
      <c r="J141" s="11" t="s">
        <v>34</v>
      </c>
      <c r="K141" s="10" t="s">
        <v>742</v>
      </c>
      <c r="L141" s="10">
        <v>300.0</v>
      </c>
      <c r="M141" s="10"/>
      <c r="N141" s="20">
        <v>80.0</v>
      </c>
      <c r="O141" s="10" t="s">
        <v>37</v>
      </c>
      <c r="P141" s="10" t="s">
        <v>37</v>
      </c>
      <c r="Q141" s="10" t="s">
        <v>37</v>
      </c>
      <c r="R141" s="10"/>
      <c r="S141" s="10" t="s">
        <v>34</v>
      </c>
      <c r="T141" s="10" t="s">
        <v>518</v>
      </c>
      <c r="U141" s="10"/>
      <c r="V141" s="10" t="s">
        <v>38</v>
      </c>
      <c r="W141" s="10" t="s">
        <v>34</v>
      </c>
      <c r="X141" s="10" t="s">
        <v>34</v>
      </c>
      <c r="Y141" s="10" t="s">
        <v>640</v>
      </c>
      <c r="Z141" s="10" t="s">
        <v>841</v>
      </c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10" t="s">
        <v>842</v>
      </c>
      <c r="B142" s="10" t="s">
        <v>511</v>
      </c>
      <c r="C142" s="15" t="s">
        <v>211</v>
      </c>
      <c r="D142" s="12" t="s">
        <v>843</v>
      </c>
      <c r="E142" s="16">
        <v>5290902.0</v>
      </c>
      <c r="F142" s="10" t="s">
        <v>844</v>
      </c>
      <c r="G142" s="10" t="s">
        <v>845</v>
      </c>
      <c r="H142" s="10" t="s">
        <v>846</v>
      </c>
      <c r="I142" s="10" t="s">
        <v>611</v>
      </c>
      <c r="J142" s="11" t="s">
        <v>34</v>
      </c>
      <c r="K142" s="11" t="s">
        <v>543</v>
      </c>
      <c r="L142" s="10">
        <v>120.0</v>
      </c>
      <c r="M142" s="10"/>
      <c r="N142" s="20"/>
      <c r="O142" s="11" t="s">
        <v>74</v>
      </c>
      <c r="P142" s="11" t="s">
        <v>74</v>
      </c>
      <c r="Q142" s="10" t="s">
        <v>37</v>
      </c>
      <c r="R142" s="10"/>
      <c r="S142" s="10" t="s">
        <v>38</v>
      </c>
      <c r="T142" s="10" t="s">
        <v>518</v>
      </c>
      <c r="U142" s="10"/>
      <c r="V142" s="10" t="s">
        <v>38</v>
      </c>
      <c r="W142" s="10" t="s">
        <v>34</v>
      </c>
      <c r="X142" s="10" t="s">
        <v>34</v>
      </c>
      <c r="Y142" s="10" t="s">
        <v>519</v>
      </c>
      <c r="Z142" s="10" t="s">
        <v>77</v>
      </c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10" t="s">
        <v>847</v>
      </c>
      <c r="B143" s="10" t="s">
        <v>511</v>
      </c>
      <c r="C143" s="15" t="s">
        <v>211</v>
      </c>
      <c r="D143" s="12" t="s">
        <v>848</v>
      </c>
      <c r="E143" s="16">
        <v>7442229.0</v>
      </c>
      <c r="F143" s="10" t="s">
        <v>849</v>
      </c>
      <c r="G143" s="10" t="s">
        <v>850</v>
      </c>
      <c r="H143" s="10" t="s">
        <v>851</v>
      </c>
      <c r="I143" s="10" t="s">
        <v>831</v>
      </c>
      <c r="J143" s="11" t="s">
        <v>34</v>
      </c>
      <c r="K143" s="11" t="s">
        <v>35</v>
      </c>
      <c r="L143" s="10">
        <v>415.0</v>
      </c>
      <c r="M143" s="10"/>
      <c r="N143" s="20"/>
      <c r="O143" s="10" t="s">
        <v>37</v>
      </c>
      <c r="P143" s="10" t="s">
        <v>37</v>
      </c>
      <c r="Q143" s="10" t="s">
        <v>37</v>
      </c>
      <c r="R143" s="10"/>
      <c r="S143" s="10" t="s">
        <v>34</v>
      </c>
      <c r="T143" s="10" t="s">
        <v>518</v>
      </c>
      <c r="U143" s="10"/>
      <c r="V143" s="10" t="s">
        <v>34</v>
      </c>
      <c r="W143" s="10" t="s">
        <v>34</v>
      </c>
      <c r="X143" s="10" t="s">
        <v>34</v>
      </c>
      <c r="Y143" s="10" t="s">
        <v>519</v>
      </c>
      <c r="Z143" s="10" t="s">
        <v>77</v>
      </c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10" t="s">
        <v>852</v>
      </c>
      <c r="B144" s="10" t="s">
        <v>511</v>
      </c>
      <c r="C144" s="15" t="s">
        <v>211</v>
      </c>
      <c r="D144" s="12" t="s">
        <v>853</v>
      </c>
      <c r="E144" s="16">
        <v>5.3439916E7</v>
      </c>
      <c r="F144" s="10" t="s">
        <v>854</v>
      </c>
      <c r="G144" s="10" t="s">
        <v>855</v>
      </c>
      <c r="H144" s="10" t="s">
        <v>856</v>
      </c>
      <c r="I144" s="10" t="s">
        <v>632</v>
      </c>
      <c r="J144" s="11" t="s">
        <v>34</v>
      </c>
      <c r="K144" s="11" t="s">
        <v>35</v>
      </c>
      <c r="L144" s="10">
        <v>100.0</v>
      </c>
      <c r="M144" s="10"/>
      <c r="N144" s="20"/>
      <c r="O144" s="11" t="s">
        <v>74</v>
      </c>
      <c r="P144" s="11" t="s">
        <v>74</v>
      </c>
      <c r="Q144" s="11" t="s">
        <v>74</v>
      </c>
      <c r="R144" s="10"/>
      <c r="S144" s="10" t="s">
        <v>38</v>
      </c>
      <c r="T144" s="10" t="s">
        <v>38</v>
      </c>
      <c r="U144" s="10"/>
      <c r="V144" s="10" t="s">
        <v>38</v>
      </c>
      <c r="W144" s="10" t="s">
        <v>38</v>
      </c>
      <c r="X144" s="10" t="s">
        <v>34</v>
      </c>
      <c r="Y144" s="10" t="s">
        <v>519</v>
      </c>
      <c r="Z144" s="10" t="s">
        <v>857</v>
      </c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10" t="s">
        <v>858</v>
      </c>
      <c r="B145" s="10" t="s">
        <v>511</v>
      </c>
      <c r="C145" s="15" t="s">
        <v>211</v>
      </c>
      <c r="D145" s="12" t="s">
        <v>859</v>
      </c>
      <c r="E145" s="16">
        <v>7422745.0</v>
      </c>
      <c r="F145" s="10" t="s">
        <v>860</v>
      </c>
      <c r="G145" s="10" t="s">
        <v>861</v>
      </c>
      <c r="H145" s="10" t="s">
        <v>862</v>
      </c>
      <c r="I145" s="10" t="s">
        <v>611</v>
      </c>
      <c r="J145" s="11" t="s">
        <v>34</v>
      </c>
      <c r="K145" s="11" t="s">
        <v>35</v>
      </c>
      <c r="L145" s="10">
        <v>100.0</v>
      </c>
      <c r="M145" s="10"/>
      <c r="N145" s="20"/>
      <c r="O145" s="11" t="s">
        <v>74</v>
      </c>
      <c r="P145" s="11" t="s">
        <v>74</v>
      </c>
      <c r="Q145" s="11" t="s">
        <v>74</v>
      </c>
      <c r="R145" s="10"/>
      <c r="S145" s="10" t="s">
        <v>38</v>
      </c>
      <c r="T145" s="10" t="s">
        <v>38</v>
      </c>
      <c r="U145" s="10"/>
      <c r="V145" s="10" t="s">
        <v>34</v>
      </c>
      <c r="W145" s="10" t="s">
        <v>34</v>
      </c>
      <c r="X145" s="10" t="s">
        <v>34</v>
      </c>
      <c r="Y145" s="10" t="s">
        <v>519</v>
      </c>
      <c r="Z145" s="10" t="s">
        <v>863</v>
      </c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10" t="s">
        <v>864</v>
      </c>
      <c r="B146" s="10" t="s">
        <v>511</v>
      </c>
      <c r="C146" s="15" t="s">
        <v>211</v>
      </c>
      <c r="D146" s="12" t="s">
        <v>865</v>
      </c>
      <c r="E146" s="16">
        <v>5.6855422E7</v>
      </c>
      <c r="F146" s="10" t="s">
        <v>866</v>
      </c>
      <c r="G146" s="10" t="s">
        <v>867</v>
      </c>
      <c r="H146" s="10" t="s">
        <v>868</v>
      </c>
      <c r="I146" s="10" t="s">
        <v>534</v>
      </c>
      <c r="J146" s="11" t="s">
        <v>34</v>
      </c>
      <c r="K146" s="11" t="s">
        <v>35</v>
      </c>
      <c r="L146" s="10">
        <v>250.0</v>
      </c>
      <c r="M146" s="10"/>
      <c r="N146" s="20">
        <v>50.0</v>
      </c>
      <c r="O146" s="10" t="s">
        <v>37</v>
      </c>
      <c r="P146" s="10" t="s">
        <v>37</v>
      </c>
      <c r="Q146" s="10" t="s">
        <v>37</v>
      </c>
      <c r="R146" s="10"/>
      <c r="S146" s="10" t="s">
        <v>38</v>
      </c>
      <c r="T146" s="10" t="s">
        <v>38</v>
      </c>
      <c r="U146" s="10"/>
      <c r="V146" s="10" t="s">
        <v>34</v>
      </c>
      <c r="W146" s="10" t="s">
        <v>34</v>
      </c>
      <c r="X146" s="10" t="s">
        <v>34</v>
      </c>
      <c r="Y146" s="10" t="s">
        <v>519</v>
      </c>
      <c r="Z146" s="10" t="s">
        <v>863</v>
      </c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10" t="s">
        <v>869</v>
      </c>
      <c r="B147" s="10" t="s">
        <v>511</v>
      </c>
      <c r="C147" s="15" t="s">
        <v>211</v>
      </c>
      <c r="D147" s="12" t="s">
        <v>870</v>
      </c>
      <c r="E147" s="16">
        <v>7341111.0</v>
      </c>
      <c r="F147" s="10" t="s">
        <v>871</v>
      </c>
      <c r="G147" s="10" t="s">
        <v>872</v>
      </c>
      <c r="H147" s="10" t="s">
        <v>873</v>
      </c>
      <c r="I147" s="10" t="s">
        <v>632</v>
      </c>
      <c r="J147" s="11" t="s">
        <v>34</v>
      </c>
      <c r="K147" s="11" t="s">
        <v>35</v>
      </c>
      <c r="L147" s="10">
        <v>150.0</v>
      </c>
      <c r="M147" s="10"/>
      <c r="N147" s="20"/>
      <c r="O147" s="10" t="s">
        <v>37</v>
      </c>
      <c r="P147" s="11" t="s">
        <v>74</v>
      </c>
      <c r="Q147" s="11" t="s">
        <v>74</v>
      </c>
      <c r="R147" s="10"/>
      <c r="S147" s="10" t="s">
        <v>38</v>
      </c>
      <c r="T147" s="10" t="s">
        <v>38</v>
      </c>
      <c r="U147" s="10"/>
      <c r="V147" s="10" t="s">
        <v>38</v>
      </c>
      <c r="W147" s="10" t="s">
        <v>34</v>
      </c>
      <c r="X147" s="10" t="s">
        <v>34</v>
      </c>
      <c r="Y147" s="10" t="s">
        <v>519</v>
      </c>
      <c r="Z147" s="10" t="s">
        <v>874</v>
      </c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10" t="s">
        <v>875</v>
      </c>
      <c r="B148" s="10" t="s">
        <v>511</v>
      </c>
      <c r="C148" s="15" t="s">
        <v>211</v>
      </c>
      <c r="D148" s="12" t="s">
        <v>876</v>
      </c>
      <c r="E148" s="16">
        <v>5.5506363E7</v>
      </c>
      <c r="F148" s="10" t="s">
        <v>877</v>
      </c>
      <c r="G148" s="10" t="s">
        <v>878</v>
      </c>
      <c r="H148" s="10" t="s">
        <v>879</v>
      </c>
      <c r="I148" s="10" t="s">
        <v>880</v>
      </c>
      <c r="J148" s="11" t="s">
        <v>34</v>
      </c>
      <c r="K148" s="11" t="s">
        <v>35</v>
      </c>
      <c r="L148" s="10">
        <v>1000.0</v>
      </c>
      <c r="M148" s="10"/>
      <c r="N148" s="20">
        <v>95.0</v>
      </c>
      <c r="O148" s="10" t="s">
        <v>37</v>
      </c>
      <c r="P148" s="11" t="s">
        <v>74</v>
      </c>
      <c r="Q148" s="10" t="s">
        <v>37</v>
      </c>
      <c r="R148" s="10"/>
      <c r="S148" s="10" t="s">
        <v>38</v>
      </c>
      <c r="T148" s="10" t="s">
        <v>38</v>
      </c>
      <c r="U148" s="10"/>
      <c r="V148" s="10" t="s">
        <v>34</v>
      </c>
      <c r="W148" s="10" t="s">
        <v>34</v>
      </c>
      <c r="X148" s="10" t="s">
        <v>34</v>
      </c>
      <c r="Y148" s="10" t="s">
        <v>583</v>
      </c>
      <c r="Z148" s="10" t="s">
        <v>605</v>
      </c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10" t="s">
        <v>881</v>
      </c>
      <c r="B149" s="10" t="s">
        <v>511</v>
      </c>
      <c r="C149" s="15" t="s">
        <v>211</v>
      </c>
      <c r="D149" s="12" t="s">
        <v>882</v>
      </c>
      <c r="E149" s="16">
        <v>5.5327137E7</v>
      </c>
      <c r="F149" s="10" t="s">
        <v>883</v>
      </c>
      <c r="G149" s="10" t="s">
        <v>884</v>
      </c>
      <c r="H149" s="10" t="s">
        <v>885</v>
      </c>
      <c r="I149" s="10" t="s">
        <v>818</v>
      </c>
      <c r="J149" s="11" t="s">
        <v>34</v>
      </c>
      <c r="K149" s="11" t="s">
        <v>35</v>
      </c>
      <c r="L149" s="10">
        <v>1000.0</v>
      </c>
      <c r="M149" s="10"/>
      <c r="N149" s="20"/>
      <c r="O149" s="10" t="s">
        <v>37</v>
      </c>
      <c r="P149" s="11" t="s">
        <v>74</v>
      </c>
      <c r="Q149" s="11" t="s">
        <v>74</v>
      </c>
      <c r="R149" s="10"/>
      <c r="S149" s="10" t="s">
        <v>38</v>
      </c>
      <c r="T149" s="10" t="s">
        <v>38</v>
      </c>
      <c r="U149" s="10"/>
      <c r="V149" s="10" t="s">
        <v>34</v>
      </c>
      <c r="W149" s="10" t="s">
        <v>34</v>
      </c>
      <c r="X149" s="10" t="s">
        <v>34</v>
      </c>
      <c r="Y149" s="10" t="s">
        <v>583</v>
      </c>
      <c r="Z149" s="10" t="s">
        <v>605</v>
      </c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10" t="s">
        <v>886</v>
      </c>
      <c r="B150" s="10" t="s">
        <v>511</v>
      </c>
      <c r="C150" s="15" t="s">
        <v>211</v>
      </c>
      <c r="D150" s="12" t="s">
        <v>887</v>
      </c>
      <c r="E150" s="16">
        <v>5.3422532E7</v>
      </c>
      <c r="F150" s="10" t="s">
        <v>888</v>
      </c>
      <c r="G150" s="10" t="s">
        <v>889</v>
      </c>
      <c r="H150" s="10" t="s">
        <v>890</v>
      </c>
      <c r="I150" s="10" t="s">
        <v>611</v>
      </c>
      <c r="J150" s="11" t="s">
        <v>34</v>
      </c>
      <c r="K150" s="11" t="s">
        <v>35</v>
      </c>
      <c r="L150" s="10">
        <v>150.0</v>
      </c>
      <c r="M150" s="10"/>
      <c r="N150" s="20"/>
      <c r="O150" s="11" t="s">
        <v>74</v>
      </c>
      <c r="P150" s="11" t="s">
        <v>74</v>
      </c>
      <c r="Q150" s="11" t="s">
        <v>74</v>
      </c>
      <c r="R150" s="10"/>
      <c r="S150" s="10" t="s">
        <v>38</v>
      </c>
      <c r="T150" s="10" t="s">
        <v>38</v>
      </c>
      <c r="U150" s="10"/>
      <c r="V150" s="10" t="s">
        <v>34</v>
      </c>
      <c r="W150" s="10" t="s">
        <v>34</v>
      </c>
      <c r="X150" s="10" t="s">
        <v>34</v>
      </c>
      <c r="Y150" s="10" t="s">
        <v>519</v>
      </c>
      <c r="Z150" s="10" t="s">
        <v>605</v>
      </c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10" t="s">
        <v>891</v>
      </c>
      <c r="B151" s="10" t="s">
        <v>511</v>
      </c>
      <c r="C151" s="15" t="s">
        <v>211</v>
      </c>
      <c r="D151" s="12" t="s">
        <v>892</v>
      </c>
      <c r="E151" s="16">
        <v>7407950.0</v>
      </c>
      <c r="F151" s="10" t="s">
        <v>893</v>
      </c>
      <c r="G151" s="10" t="s">
        <v>894</v>
      </c>
      <c r="H151" s="10" t="s">
        <v>895</v>
      </c>
      <c r="I151" s="10" t="s">
        <v>632</v>
      </c>
      <c r="J151" s="11" t="s">
        <v>34</v>
      </c>
      <c r="K151" s="11" t="s">
        <v>35</v>
      </c>
      <c r="L151" s="10">
        <v>140.0</v>
      </c>
      <c r="M151" s="10"/>
      <c r="N151" s="20">
        <v>80.0</v>
      </c>
      <c r="O151" s="10" t="s">
        <v>37</v>
      </c>
      <c r="P151" s="11" t="s">
        <v>74</v>
      </c>
      <c r="Q151" s="10" t="s">
        <v>37</v>
      </c>
      <c r="R151" s="10"/>
      <c r="S151" s="10" t="s">
        <v>38</v>
      </c>
      <c r="T151" s="10" t="s">
        <v>38</v>
      </c>
      <c r="U151" s="10"/>
      <c r="V151" s="10" t="s">
        <v>34</v>
      </c>
      <c r="W151" s="10" t="s">
        <v>34</v>
      </c>
      <c r="X151" s="10" t="s">
        <v>34</v>
      </c>
      <c r="Y151" s="10" t="s">
        <v>640</v>
      </c>
      <c r="Z151" s="10" t="s">
        <v>896</v>
      </c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10" t="s">
        <v>897</v>
      </c>
      <c r="B152" s="10" t="s">
        <v>511</v>
      </c>
      <c r="C152" s="15" t="s">
        <v>211</v>
      </c>
      <c r="D152" s="12" t="s">
        <v>898</v>
      </c>
      <c r="E152" s="16">
        <v>7343664.0</v>
      </c>
      <c r="F152" s="10" t="s">
        <v>899</v>
      </c>
      <c r="G152" s="10" t="s">
        <v>900</v>
      </c>
      <c r="H152" s="10" t="s">
        <v>901</v>
      </c>
      <c r="I152" s="10" t="s">
        <v>831</v>
      </c>
      <c r="J152" s="11" t="s">
        <v>34</v>
      </c>
      <c r="K152" s="11" t="s">
        <v>35</v>
      </c>
      <c r="L152" s="10">
        <v>400.0</v>
      </c>
      <c r="M152" s="10"/>
      <c r="N152" s="20"/>
      <c r="O152" s="10" t="s">
        <v>37</v>
      </c>
      <c r="P152" s="11" t="s">
        <v>74</v>
      </c>
      <c r="Q152" s="10" t="s">
        <v>37</v>
      </c>
      <c r="R152" s="10"/>
      <c r="S152" s="10" t="s">
        <v>38</v>
      </c>
      <c r="T152" s="10" t="s">
        <v>38</v>
      </c>
      <c r="U152" s="10"/>
      <c r="V152" s="10" t="s">
        <v>34</v>
      </c>
      <c r="W152" s="10" t="s">
        <v>34</v>
      </c>
      <c r="X152" s="10" t="s">
        <v>34</v>
      </c>
      <c r="Y152" s="10" t="s">
        <v>519</v>
      </c>
      <c r="Z152" s="10" t="s">
        <v>77</v>
      </c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10" t="s">
        <v>902</v>
      </c>
      <c r="B153" s="10" t="s">
        <v>511</v>
      </c>
      <c r="C153" s="10" t="s">
        <v>79</v>
      </c>
      <c r="D153" s="12" t="s">
        <v>903</v>
      </c>
      <c r="E153" s="16">
        <v>7341073.0</v>
      </c>
      <c r="F153" s="10" t="s">
        <v>904</v>
      </c>
      <c r="G153" s="10" t="s">
        <v>905</v>
      </c>
      <c r="H153" s="10" t="s">
        <v>906</v>
      </c>
      <c r="I153" s="10" t="s">
        <v>831</v>
      </c>
      <c r="J153" s="11" t="s">
        <v>34</v>
      </c>
      <c r="K153" s="11" t="s">
        <v>35</v>
      </c>
      <c r="L153" s="10">
        <v>60.0</v>
      </c>
      <c r="M153" s="10"/>
      <c r="N153" s="20">
        <v>40.0</v>
      </c>
      <c r="O153" s="10" t="s">
        <v>37</v>
      </c>
      <c r="P153" s="11" t="s">
        <v>74</v>
      </c>
      <c r="Q153" s="10" t="s">
        <v>37</v>
      </c>
      <c r="R153" s="10"/>
      <c r="S153" s="10" t="s">
        <v>38</v>
      </c>
      <c r="T153" s="10" t="s">
        <v>518</v>
      </c>
      <c r="U153" s="10"/>
      <c r="V153" s="10" t="s">
        <v>38</v>
      </c>
      <c r="W153" s="10" t="s">
        <v>34</v>
      </c>
      <c r="X153" s="10" t="s">
        <v>34</v>
      </c>
      <c r="Y153" s="10" t="s">
        <v>640</v>
      </c>
      <c r="Z153" s="10" t="s">
        <v>907</v>
      </c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10" t="s">
        <v>908</v>
      </c>
      <c r="B154" s="10" t="s">
        <v>511</v>
      </c>
      <c r="C154" s="10" t="s">
        <v>79</v>
      </c>
      <c r="D154" s="12" t="s">
        <v>909</v>
      </c>
      <c r="E154" s="16">
        <v>7421793.0</v>
      </c>
      <c r="F154" s="10" t="s">
        <v>910</v>
      </c>
      <c r="G154" s="10" t="s">
        <v>911</v>
      </c>
      <c r="H154" s="10" t="s">
        <v>912</v>
      </c>
      <c r="I154" s="10" t="s">
        <v>913</v>
      </c>
      <c r="J154" s="11" t="s">
        <v>34</v>
      </c>
      <c r="K154" s="11" t="s">
        <v>35</v>
      </c>
      <c r="L154" s="10">
        <v>1000.0</v>
      </c>
      <c r="M154" s="10"/>
      <c r="N154" s="20">
        <v>1000.0</v>
      </c>
      <c r="O154" s="10" t="s">
        <v>37</v>
      </c>
      <c r="P154" s="10" t="s">
        <v>37</v>
      </c>
      <c r="Q154" s="10" t="s">
        <v>37</v>
      </c>
      <c r="R154" s="10"/>
      <c r="S154" s="10" t="s">
        <v>34</v>
      </c>
      <c r="T154" s="10" t="s">
        <v>518</v>
      </c>
      <c r="U154" s="10"/>
      <c r="V154" s="10" t="s">
        <v>34</v>
      </c>
      <c r="W154" s="10" t="s">
        <v>34</v>
      </c>
      <c r="X154" s="10" t="s">
        <v>34</v>
      </c>
      <c r="Y154" s="10" t="s">
        <v>583</v>
      </c>
      <c r="Z154" s="10" t="s">
        <v>914</v>
      </c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10" t="s">
        <v>915</v>
      </c>
      <c r="B155" s="10" t="s">
        <v>511</v>
      </c>
      <c r="C155" s="11" t="s">
        <v>388</v>
      </c>
      <c r="D155" s="12" t="s">
        <v>916</v>
      </c>
      <c r="E155" s="16">
        <v>7448400.0</v>
      </c>
      <c r="F155" s="10" t="s">
        <v>917</v>
      </c>
      <c r="G155" s="10" t="s">
        <v>918</v>
      </c>
      <c r="H155" s="10" t="s">
        <v>919</v>
      </c>
      <c r="I155" s="10" t="s">
        <v>768</v>
      </c>
      <c r="J155" s="11" t="s">
        <v>34</v>
      </c>
      <c r="K155" s="11" t="s">
        <v>35</v>
      </c>
      <c r="L155" s="10">
        <v>1736.0</v>
      </c>
      <c r="M155" s="10"/>
      <c r="N155" s="20">
        <v>100.0</v>
      </c>
      <c r="O155" s="10" t="s">
        <v>37</v>
      </c>
      <c r="P155" s="11" t="s">
        <v>74</v>
      </c>
      <c r="Q155" s="10" t="s">
        <v>37</v>
      </c>
      <c r="R155" s="10"/>
      <c r="S155" s="10" t="s">
        <v>38</v>
      </c>
      <c r="T155" s="10" t="s">
        <v>518</v>
      </c>
      <c r="U155" s="10"/>
      <c r="V155" s="10" t="s">
        <v>34</v>
      </c>
      <c r="W155" s="10" t="s">
        <v>34</v>
      </c>
      <c r="X155" s="10" t="s">
        <v>34</v>
      </c>
      <c r="Y155" s="10" t="s">
        <v>583</v>
      </c>
      <c r="Z155" s="10" t="s">
        <v>591</v>
      </c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10" t="s">
        <v>920</v>
      </c>
      <c r="B156" s="10" t="s">
        <v>511</v>
      </c>
      <c r="C156" s="11" t="s">
        <v>388</v>
      </c>
      <c r="D156" s="12" t="s">
        <v>921</v>
      </c>
      <c r="E156" s="16">
        <v>7376281.0</v>
      </c>
      <c r="F156" s="10" t="s">
        <v>922</v>
      </c>
      <c r="G156" s="10" t="s">
        <v>923</v>
      </c>
      <c r="H156" s="10" t="s">
        <v>924</v>
      </c>
      <c r="I156" s="10" t="s">
        <v>913</v>
      </c>
      <c r="J156" s="11" t="s">
        <v>34</v>
      </c>
      <c r="K156" s="11" t="s">
        <v>35</v>
      </c>
      <c r="L156" s="10">
        <v>2500.0</v>
      </c>
      <c r="M156" s="10"/>
      <c r="N156" s="20">
        <v>100.0</v>
      </c>
      <c r="O156" s="10" t="s">
        <v>37</v>
      </c>
      <c r="P156" s="10" t="s">
        <v>37</v>
      </c>
      <c r="Q156" s="10" t="s">
        <v>37</v>
      </c>
      <c r="R156" s="10"/>
      <c r="S156" s="10" t="s">
        <v>38</v>
      </c>
      <c r="T156" s="10" t="s">
        <v>518</v>
      </c>
      <c r="U156" s="10"/>
      <c r="V156" s="10" t="s">
        <v>34</v>
      </c>
      <c r="W156" s="10" t="s">
        <v>34</v>
      </c>
      <c r="X156" s="10" t="s">
        <v>34</v>
      </c>
      <c r="Y156" s="10" t="s">
        <v>583</v>
      </c>
      <c r="Z156" s="10" t="s">
        <v>591</v>
      </c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10" t="s">
        <v>925</v>
      </c>
      <c r="B157" s="10" t="s">
        <v>511</v>
      </c>
      <c r="C157" s="10" t="s">
        <v>250</v>
      </c>
      <c r="D157" s="12" t="s">
        <v>926</v>
      </c>
      <c r="E157" s="16">
        <v>7448408.0</v>
      </c>
      <c r="F157" s="10" t="s">
        <v>927</v>
      </c>
      <c r="G157" s="10" t="s">
        <v>928</v>
      </c>
      <c r="H157" s="10" t="s">
        <v>929</v>
      </c>
      <c r="I157" s="10" t="s">
        <v>768</v>
      </c>
      <c r="J157" s="11" t="s">
        <v>34</v>
      </c>
      <c r="K157" s="11" t="s">
        <v>543</v>
      </c>
      <c r="L157" s="10">
        <v>80.0</v>
      </c>
      <c r="M157" s="10"/>
      <c r="N157" s="20"/>
      <c r="O157" s="10" t="s">
        <v>37</v>
      </c>
      <c r="P157" s="11" t="s">
        <v>74</v>
      </c>
      <c r="Q157" s="10" t="s">
        <v>37</v>
      </c>
      <c r="R157" s="10"/>
      <c r="S157" s="10" t="s">
        <v>38</v>
      </c>
      <c r="T157" s="10" t="s">
        <v>518</v>
      </c>
      <c r="U157" s="10"/>
      <c r="V157" s="10" t="s">
        <v>34</v>
      </c>
      <c r="W157" s="10" t="s">
        <v>34</v>
      </c>
      <c r="X157" s="10" t="s">
        <v>34</v>
      </c>
      <c r="Y157" s="10" t="s">
        <v>640</v>
      </c>
      <c r="Z157" s="10" t="s">
        <v>930</v>
      </c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10" t="s">
        <v>931</v>
      </c>
      <c r="B158" s="10" t="s">
        <v>511</v>
      </c>
      <c r="C158" s="10" t="s">
        <v>250</v>
      </c>
      <c r="D158" s="12" t="s">
        <v>932</v>
      </c>
      <c r="E158" s="16">
        <v>7333846.0</v>
      </c>
      <c r="F158" s="10" t="s">
        <v>922</v>
      </c>
      <c r="G158" s="10" t="s">
        <v>923</v>
      </c>
      <c r="H158" s="10" t="s">
        <v>933</v>
      </c>
      <c r="I158" s="10" t="s">
        <v>934</v>
      </c>
      <c r="J158" s="11" t="s">
        <v>38</v>
      </c>
      <c r="K158" s="10"/>
      <c r="L158" s="10"/>
      <c r="M158" s="10"/>
      <c r="N158" s="20"/>
      <c r="O158" s="10" t="s">
        <v>37</v>
      </c>
      <c r="P158" s="11" t="s">
        <v>74</v>
      </c>
      <c r="Q158" s="11" t="s">
        <v>74</v>
      </c>
      <c r="R158" s="10"/>
      <c r="S158" s="10" t="s">
        <v>38</v>
      </c>
      <c r="T158" s="10" t="s">
        <v>38</v>
      </c>
      <c r="U158" s="10"/>
      <c r="V158" s="10" t="s">
        <v>34</v>
      </c>
      <c r="W158" s="10" t="s">
        <v>34</v>
      </c>
      <c r="X158" s="10" t="s">
        <v>34</v>
      </c>
      <c r="Y158" s="10" t="s">
        <v>519</v>
      </c>
      <c r="Z158" s="10" t="s">
        <v>935</v>
      </c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10" t="s">
        <v>936</v>
      </c>
      <c r="B159" s="10" t="s">
        <v>511</v>
      </c>
      <c r="C159" s="10" t="s">
        <v>262</v>
      </c>
      <c r="D159" s="12" t="s">
        <v>937</v>
      </c>
      <c r="E159" s="16">
        <v>5246146.0</v>
      </c>
      <c r="F159" s="10" t="s">
        <v>938</v>
      </c>
      <c r="G159" s="10" t="s">
        <v>939</v>
      </c>
      <c r="H159" s="10" t="s">
        <v>940</v>
      </c>
      <c r="I159" s="10" t="s">
        <v>611</v>
      </c>
      <c r="J159" s="11" t="s">
        <v>34</v>
      </c>
      <c r="K159" s="11" t="s">
        <v>35</v>
      </c>
      <c r="L159" s="10">
        <v>50.0</v>
      </c>
      <c r="M159" s="10"/>
      <c r="N159" s="20">
        <v>40.0</v>
      </c>
      <c r="O159" s="10" t="s">
        <v>37</v>
      </c>
      <c r="P159" s="11" t="s">
        <v>74</v>
      </c>
      <c r="Q159" s="10" t="s">
        <v>37</v>
      </c>
      <c r="R159" s="10"/>
      <c r="S159" s="10" t="s">
        <v>38</v>
      </c>
      <c r="T159" s="10" t="s">
        <v>518</v>
      </c>
      <c r="U159" s="10"/>
      <c r="V159" s="10" t="s">
        <v>34</v>
      </c>
      <c r="W159" s="10" t="s">
        <v>34</v>
      </c>
      <c r="X159" s="10" t="s">
        <v>34</v>
      </c>
      <c r="Y159" s="10" t="s">
        <v>640</v>
      </c>
      <c r="Z159" s="10" t="s">
        <v>605</v>
      </c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10" t="s">
        <v>941</v>
      </c>
      <c r="B160" s="10" t="s">
        <v>511</v>
      </c>
      <c r="C160" s="10" t="s">
        <v>262</v>
      </c>
      <c r="D160" s="12" t="s">
        <v>942</v>
      </c>
      <c r="E160" s="16">
        <v>5246146.0</v>
      </c>
      <c r="F160" s="10" t="s">
        <v>938</v>
      </c>
      <c r="G160" s="10" t="s">
        <v>939</v>
      </c>
      <c r="H160" s="10" t="s">
        <v>943</v>
      </c>
      <c r="I160" s="10" t="s">
        <v>611</v>
      </c>
      <c r="J160" s="11" t="s">
        <v>34</v>
      </c>
      <c r="K160" s="11" t="s">
        <v>543</v>
      </c>
      <c r="L160" s="10">
        <v>40.0</v>
      </c>
      <c r="M160" s="10"/>
      <c r="N160" s="20">
        <v>40.0</v>
      </c>
      <c r="O160" s="10" t="s">
        <v>37</v>
      </c>
      <c r="P160" s="10" t="s">
        <v>37</v>
      </c>
      <c r="Q160" s="10" t="s">
        <v>37</v>
      </c>
      <c r="R160" s="10"/>
      <c r="S160" s="10" t="s">
        <v>38</v>
      </c>
      <c r="T160" s="10" t="s">
        <v>518</v>
      </c>
      <c r="U160" s="10"/>
      <c r="V160" s="10" t="s">
        <v>34</v>
      </c>
      <c r="W160" s="10" t="s">
        <v>34</v>
      </c>
      <c r="X160" s="10" t="s">
        <v>34</v>
      </c>
      <c r="Y160" s="10" t="s">
        <v>519</v>
      </c>
      <c r="Z160" s="10" t="s">
        <v>605</v>
      </c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10" t="s">
        <v>944</v>
      </c>
      <c r="B161" s="10" t="s">
        <v>511</v>
      </c>
      <c r="C161" s="10" t="s">
        <v>90</v>
      </c>
      <c r="D161" s="12" t="s">
        <v>945</v>
      </c>
      <c r="E161" s="16">
        <v>7366120.0</v>
      </c>
      <c r="F161" s="10" t="s">
        <v>946</v>
      </c>
      <c r="G161" s="10" t="s">
        <v>947</v>
      </c>
      <c r="H161" s="10" t="s">
        <v>948</v>
      </c>
      <c r="I161" s="10" t="s">
        <v>632</v>
      </c>
      <c r="J161" s="11" t="s">
        <v>34</v>
      </c>
      <c r="K161" s="11" t="s">
        <v>35</v>
      </c>
      <c r="L161" s="10">
        <v>100.0</v>
      </c>
      <c r="M161" s="10"/>
      <c r="N161" s="20">
        <v>40.0</v>
      </c>
      <c r="O161" s="10" t="s">
        <v>37</v>
      </c>
      <c r="P161" s="10" t="s">
        <v>37</v>
      </c>
      <c r="Q161" s="10" t="s">
        <v>37</v>
      </c>
      <c r="R161" s="10"/>
      <c r="S161" s="10" t="s">
        <v>34</v>
      </c>
      <c r="T161" s="10" t="s">
        <v>518</v>
      </c>
      <c r="U161" s="10"/>
      <c r="V161" s="10" t="s">
        <v>34</v>
      </c>
      <c r="W161" s="10" t="s">
        <v>34</v>
      </c>
      <c r="X161" s="10" t="s">
        <v>34</v>
      </c>
      <c r="Y161" s="10" t="s">
        <v>519</v>
      </c>
      <c r="Z161" s="10" t="s">
        <v>949</v>
      </c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10" t="s">
        <v>950</v>
      </c>
      <c r="B162" s="10" t="s">
        <v>511</v>
      </c>
      <c r="C162" s="11" t="s">
        <v>801</v>
      </c>
      <c r="D162" s="12" t="s">
        <v>951</v>
      </c>
      <c r="E162" s="16">
        <v>5.8541718E7</v>
      </c>
      <c r="F162" s="10" t="s">
        <v>952</v>
      </c>
      <c r="G162" s="10" t="s">
        <v>953</v>
      </c>
      <c r="H162" s="10" t="s">
        <v>906</v>
      </c>
      <c r="I162" s="10" t="s">
        <v>632</v>
      </c>
      <c r="J162" s="11" t="s">
        <v>34</v>
      </c>
      <c r="K162" s="10" t="s">
        <v>954</v>
      </c>
      <c r="L162" s="10">
        <v>100.0</v>
      </c>
      <c r="M162" s="10"/>
      <c r="N162" s="20">
        <v>20.0</v>
      </c>
      <c r="O162" s="10" t="s">
        <v>37</v>
      </c>
      <c r="P162" s="10" t="s">
        <v>37</v>
      </c>
      <c r="Q162" s="10" t="s">
        <v>37</v>
      </c>
      <c r="R162" s="10"/>
      <c r="S162" s="10" t="s">
        <v>34</v>
      </c>
      <c r="T162" s="10" t="s">
        <v>955</v>
      </c>
      <c r="U162" s="10"/>
      <c r="V162" s="10" t="s">
        <v>38</v>
      </c>
      <c r="W162" s="10" t="s">
        <v>34</v>
      </c>
      <c r="X162" s="10" t="s">
        <v>34</v>
      </c>
      <c r="Y162" s="10" t="s">
        <v>583</v>
      </c>
      <c r="Z162" s="10" t="s">
        <v>956</v>
      </c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10" t="s">
        <v>957</v>
      </c>
      <c r="B163" s="10" t="s">
        <v>511</v>
      </c>
      <c r="C163" s="11" t="s">
        <v>801</v>
      </c>
      <c r="D163" s="12" t="s">
        <v>958</v>
      </c>
      <c r="E163" s="16"/>
      <c r="F163" s="10" t="s">
        <v>959</v>
      </c>
      <c r="G163" s="10" t="s">
        <v>960</v>
      </c>
      <c r="H163" s="10" t="s">
        <v>961</v>
      </c>
      <c r="I163" s="10" t="s">
        <v>569</v>
      </c>
      <c r="J163" s="11" t="s">
        <v>34</v>
      </c>
      <c r="K163" s="10" t="s">
        <v>714</v>
      </c>
      <c r="L163" s="10">
        <v>150.0</v>
      </c>
      <c r="M163" s="10"/>
      <c r="N163" s="20"/>
      <c r="O163" s="10" t="s">
        <v>37</v>
      </c>
      <c r="P163" s="10" t="s">
        <v>37</v>
      </c>
      <c r="Q163" s="10" t="s">
        <v>37</v>
      </c>
      <c r="R163" s="10"/>
      <c r="S163" s="10" t="s">
        <v>38</v>
      </c>
      <c r="T163" s="10" t="s">
        <v>518</v>
      </c>
      <c r="U163" s="10"/>
      <c r="V163" s="10" t="s">
        <v>38</v>
      </c>
      <c r="W163" s="10" t="s">
        <v>34</v>
      </c>
      <c r="X163" s="10" t="s">
        <v>34</v>
      </c>
      <c r="Y163" s="10" t="s">
        <v>519</v>
      </c>
      <c r="Z163" s="10" t="s">
        <v>77</v>
      </c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10" t="s">
        <v>962</v>
      </c>
      <c r="B164" s="10" t="s">
        <v>511</v>
      </c>
      <c r="C164" s="10" t="s">
        <v>79</v>
      </c>
      <c r="D164" s="12" t="s">
        <v>963</v>
      </c>
      <c r="E164" s="16">
        <v>6776677.0</v>
      </c>
      <c r="F164" s="10" t="s">
        <v>964</v>
      </c>
      <c r="G164" s="10" t="s">
        <v>965</v>
      </c>
      <c r="H164" s="10" t="s">
        <v>966</v>
      </c>
      <c r="I164" s="10" t="s">
        <v>556</v>
      </c>
      <c r="J164" s="11" t="s">
        <v>34</v>
      </c>
      <c r="K164" s="10" t="s">
        <v>714</v>
      </c>
      <c r="L164" s="10">
        <v>341.0</v>
      </c>
      <c r="M164" s="10"/>
      <c r="N164" s="20">
        <v>60.0</v>
      </c>
      <c r="O164" s="10" t="s">
        <v>37</v>
      </c>
      <c r="P164" s="10" t="s">
        <v>37</v>
      </c>
      <c r="Q164" s="10" t="s">
        <v>37</v>
      </c>
      <c r="R164" s="10"/>
      <c r="S164" s="10" t="s">
        <v>38</v>
      </c>
      <c r="T164" s="10" t="s">
        <v>518</v>
      </c>
      <c r="U164" s="10"/>
      <c r="V164" s="10" t="s">
        <v>34</v>
      </c>
      <c r="W164" s="10" t="s">
        <v>34</v>
      </c>
      <c r="X164" s="10" t="s">
        <v>34</v>
      </c>
      <c r="Y164" s="10" t="s">
        <v>546</v>
      </c>
      <c r="Z164" s="10" t="s">
        <v>77</v>
      </c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10" t="s">
        <v>967</v>
      </c>
      <c r="B165" s="10" t="s">
        <v>511</v>
      </c>
      <c r="C165" s="10" t="s">
        <v>79</v>
      </c>
      <c r="D165" s="12" t="s">
        <v>968</v>
      </c>
      <c r="E165" s="16">
        <v>5.820666E7</v>
      </c>
      <c r="F165" s="10" t="s">
        <v>969</v>
      </c>
      <c r="G165" s="10" t="s">
        <v>970</v>
      </c>
      <c r="H165" s="10" t="s">
        <v>785</v>
      </c>
      <c r="I165" s="10" t="s">
        <v>632</v>
      </c>
      <c r="J165" s="11" t="s">
        <v>34</v>
      </c>
      <c r="K165" s="11" t="s">
        <v>35</v>
      </c>
      <c r="L165" s="10">
        <v>120.0</v>
      </c>
      <c r="M165" s="10"/>
      <c r="N165" s="20">
        <v>15.0</v>
      </c>
      <c r="O165" s="10" t="s">
        <v>37</v>
      </c>
      <c r="P165" s="10" t="s">
        <v>37</v>
      </c>
      <c r="Q165" s="10" t="s">
        <v>37</v>
      </c>
      <c r="R165" s="10"/>
      <c r="S165" s="10" t="s">
        <v>38</v>
      </c>
      <c r="T165" s="10" t="s">
        <v>518</v>
      </c>
      <c r="U165" s="10"/>
      <c r="V165" s="10" t="s">
        <v>34</v>
      </c>
      <c r="W165" s="10" t="s">
        <v>34</v>
      </c>
      <c r="X165" s="10" t="s">
        <v>34</v>
      </c>
      <c r="Y165" s="10" t="s">
        <v>546</v>
      </c>
      <c r="Z165" s="10" t="s">
        <v>841</v>
      </c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10" t="s">
        <v>971</v>
      </c>
      <c r="B166" s="10" t="s">
        <v>511</v>
      </c>
      <c r="C166" s="10" t="s">
        <v>332</v>
      </c>
      <c r="D166" s="12" t="s">
        <v>972</v>
      </c>
      <c r="E166" s="16">
        <v>7422952.0</v>
      </c>
      <c r="F166" s="10" t="s">
        <v>973</v>
      </c>
      <c r="G166" s="10" t="s">
        <v>974</v>
      </c>
      <c r="H166" s="10" t="s">
        <v>975</v>
      </c>
      <c r="I166" s="10" t="s">
        <v>976</v>
      </c>
      <c r="J166" s="11" t="s">
        <v>34</v>
      </c>
      <c r="K166" s="11" t="s">
        <v>543</v>
      </c>
      <c r="L166" s="10">
        <v>100.0</v>
      </c>
      <c r="M166" s="10"/>
      <c r="N166" s="20">
        <v>100.0</v>
      </c>
      <c r="O166" s="10" t="s">
        <v>37</v>
      </c>
      <c r="P166" s="10" t="s">
        <v>37</v>
      </c>
      <c r="Q166" s="10" t="s">
        <v>37</v>
      </c>
      <c r="R166" s="10"/>
      <c r="S166" s="10" t="s">
        <v>38</v>
      </c>
      <c r="T166" s="10" t="s">
        <v>518</v>
      </c>
      <c r="U166" s="10"/>
      <c r="V166" s="10" t="s">
        <v>34</v>
      </c>
      <c r="W166" s="10" t="s">
        <v>34</v>
      </c>
      <c r="X166" s="10" t="s">
        <v>34</v>
      </c>
      <c r="Y166" s="10" t="s">
        <v>546</v>
      </c>
      <c r="Z166" s="10" t="s">
        <v>977</v>
      </c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10" t="s">
        <v>978</v>
      </c>
      <c r="B167" s="10" t="s">
        <v>511</v>
      </c>
      <c r="C167" s="10" t="s">
        <v>90</v>
      </c>
      <c r="D167" s="12" t="s">
        <v>979</v>
      </c>
      <c r="E167" s="16">
        <v>7375385.0</v>
      </c>
      <c r="F167" s="10" t="s">
        <v>980</v>
      </c>
      <c r="G167" s="10" t="s">
        <v>981</v>
      </c>
      <c r="H167" s="10" t="s">
        <v>982</v>
      </c>
      <c r="I167" s="10" t="s">
        <v>569</v>
      </c>
      <c r="J167" s="11" t="s">
        <v>34</v>
      </c>
      <c r="K167" s="11" t="s">
        <v>35</v>
      </c>
      <c r="L167" s="10">
        <v>50.0</v>
      </c>
      <c r="M167" s="10"/>
      <c r="N167" s="20">
        <v>20.0</v>
      </c>
      <c r="O167" s="11" t="s">
        <v>74</v>
      </c>
      <c r="P167" s="11" t="s">
        <v>74</v>
      </c>
      <c r="Q167" s="10" t="s">
        <v>37</v>
      </c>
      <c r="R167" s="10"/>
      <c r="S167" s="10" t="s">
        <v>38</v>
      </c>
      <c r="T167" s="10" t="s">
        <v>38</v>
      </c>
      <c r="U167" s="10"/>
      <c r="V167" s="10" t="s">
        <v>34</v>
      </c>
      <c r="W167" s="10" t="s">
        <v>34</v>
      </c>
      <c r="X167" s="10" t="s">
        <v>34</v>
      </c>
      <c r="Y167" s="10" t="s">
        <v>519</v>
      </c>
      <c r="Z167" s="10" t="s">
        <v>983</v>
      </c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10" t="s">
        <v>984</v>
      </c>
      <c r="B168" s="10" t="s">
        <v>511</v>
      </c>
      <c r="C168" s="10" t="s">
        <v>585</v>
      </c>
      <c r="D168" s="12" t="s">
        <v>985</v>
      </c>
      <c r="E168" s="16">
        <v>5.3552518E7</v>
      </c>
      <c r="F168" s="10" t="s">
        <v>986</v>
      </c>
      <c r="G168" s="10" t="s">
        <v>987</v>
      </c>
      <c r="H168" s="10" t="s">
        <v>988</v>
      </c>
      <c r="I168" s="10" t="s">
        <v>632</v>
      </c>
      <c r="J168" s="11" t="s">
        <v>34</v>
      </c>
      <c r="K168" s="11" t="s">
        <v>35</v>
      </c>
      <c r="L168" s="10">
        <v>120.0</v>
      </c>
      <c r="M168" s="10"/>
      <c r="N168" s="20">
        <v>12.0</v>
      </c>
      <c r="O168" s="10" t="s">
        <v>37</v>
      </c>
      <c r="P168" s="10" t="s">
        <v>37</v>
      </c>
      <c r="Q168" s="10" t="s">
        <v>37</v>
      </c>
      <c r="R168" s="10"/>
      <c r="S168" s="10" t="s">
        <v>38</v>
      </c>
      <c r="T168" s="10" t="s">
        <v>518</v>
      </c>
      <c r="U168" s="10"/>
      <c r="V168" s="10" t="s">
        <v>34</v>
      </c>
      <c r="W168" s="10" t="s">
        <v>34</v>
      </c>
      <c r="X168" s="10" t="s">
        <v>34</v>
      </c>
      <c r="Y168" s="10" t="s">
        <v>583</v>
      </c>
      <c r="Z168" s="10" t="s">
        <v>77</v>
      </c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10" t="s">
        <v>989</v>
      </c>
      <c r="B169" s="10" t="s">
        <v>511</v>
      </c>
      <c r="C169" s="10" t="s">
        <v>388</v>
      </c>
      <c r="D169" s="12" t="s">
        <v>990</v>
      </c>
      <c r="E169" s="16">
        <v>5.3324145E7</v>
      </c>
      <c r="F169" s="10" t="s">
        <v>991</v>
      </c>
      <c r="G169" s="10" t="s">
        <v>992</v>
      </c>
      <c r="H169" s="10" t="s">
        <v>993</v>
      </c>
      <c r="I169" s="10" t="s">
        <v>831</v>
      </c>
      <c r="J169" s="11" t="s">
        <v>34</v>
      </c>
      <c r="K169" s="11" t="s">
        <v>35</v>
      </c>
      <c r="L169" s="10">
        <v>376.0</v>
      </c>
      <c r="M169" s="10"/>
      <c r="N169" s="20">
        <v>100.0</v>
      </c>
      <c r="O169" s="10" t="s">
        <v>37</v>
      </c>
      <c r="P169" s="11" t="s">
        <v>74</v>
      </c>
      <c r="Q169" s="10" t="s">
        <v>37</v>
      </c>
      <c r="R169" s="10"/>
      <c r="S169" s="10" t="s">
        <v>38</v>
      </c>
      <c r="T169" s="10" t="s">
        <v>518</v>
      </c>
      <c r="U169" s="10"/>
      <c r="V169" s="10" t="s">
        <v>34</v>
      </c>
      <c r="W169" s="10" t="s">
        <v>34</v>
      </c>
      <c r="X169" s="10" t="s">
        <v>34</v>
      </c>
      <c r="Y169" s="10" t="s">
        <v>583</v>
      </c>
      <c r="Z169" s="10" t="s">
        <v>605</v>
      </c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10" t="s">
        <v>994</v>
      </c>
      <c r="B170" s="10" t="s">
        <v>511</v>
      </c>
      <c r="C170" s="10" t="s">
        <v>388</v>
      </c>
      <c r="D170" s="12" t="s">
        <v>995</v>
      </c>
      <c r="E170" s="16">
        <v>5.883466E7</v>
      </c>
      <c r="F170" s="10" t="s">
        <v>996</v>
      </c>
      <c r="G170" s="10" t="s">
        <v>997</v>
      </c>
      <c r="H170" s="10" t="s">
        <v>998</v>
      </c>
      <c r="I170" s="10" t="s">
        <v>556</v>
      </c>
      <c r="J170" s="11" t="s">
        <v>34</v>
      </c>
      <c r="K170" s="11" t="s">
        <v>35</v>
      </c>
      <c r="L170" s="10">
        <v>600.0</v>
      </c>
      <c r="M170" s="10"/>
      <c r="N170" s="20">
        <v>25.0</v>
      </c>
      <c r="O170" s="11" t="s">
        <v>74</v>
      </c>
      <c r="P170" s="11" t="s">
        <v>74</v>
      </c>
      <c r="Q170" s="11" t="s">
        <v>74</v>
      </c>
      <c r="R170" s="10"/>
      <c r="S170" s="10" t="s">
        <v>38</v>
      </c>
      <c r="T170" s="10" t="s">
        <v>518</v>
      </c>
      <c r="U170" s="10"/>
      <c r="V170" s="10" t="s">
        <v>34</v>
      </c>
      <c r="W170" s="10" t="s">
        <v>34</v>
      </c>
      <c r="X170" s="10" t="s">
        <v>34</v>
      </c>
      <c r="Y170" s="10" t="s">
        <v>640</v>
      </c>
      <c r="Z170" s="10" t="s">
        <v>857</v>
      </c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10" t="s">
        <v>999</v>
      </c>
      <c r="B171" s="10" t="s">
        <v>511</v>
      </c>
      <c r="C171" s="10" t="s">
        <v>388</v>
      </c>
      <c r="D171" s="12" t="s">
        <v>1000</v>
      </c>
      <c r="E171" s="16">
        <v>5.1911122E7</v>
      </c>
      <c r="F171" s="10" t="s">
        <v>1001</v>
      </c>
      <c r="G171" s="10" t="s">
        <v>1002</v>
      </c>
      <c r="H171" s="10" t="s">
        <v>1003</v>
      </c>
      <c r="I171" s="10" t="s">
        <v>632</v>
      </c>
      <c r="J171" s="11" t="s">
        <v>34</v>
      </c>
      <c r="K171" s="11" t="s">
        <v>543</v>
      </c>
      <c r="L171" s="10">
        <v>120.0</v>
      </c>
      <c r="M171" s="10"/>
      <c r="N171" s="20">
        <v>100.0</v>
      </c>
      <c r="O171" s="10" t="s">
        <v>37</v>
      </c>
      <c r="P171" s="11" t="s">
        <v>74</v>
      </c>
      <c r="Q171" s="11" t="s">
        <v>74</v>
      </c>
      <c r="R171" s="10"/>
      <c r="S171" s="10" t="s">
        <v>38</v>
      </c>
      <c r="T171" s="10" t="s">
        <v>518</v>
      </c>
      <c r="U171" s="10"/>
      <c r="V171" s="10" t="s">
        <v>38</v>
      </c>
      <c r="W171" s="10" t="s">
        <v>34</v>
      </c>
      <c r="X171" s="10" t="s">
        <v>34</v>
      </c>
      <c r="Y171" s="10" t="s">
        <v>640</v>
      </c>
      <c r="Z171" s="10" t="s">
        <v>1004</v>
      </c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10" t="s">
        <v>1005</v>
      </c>
      <c r="B172" s="10" t="s">
        <v>511</v>
      </c>
      <c r="C172" s="10" t="s">
        <v>585</v>
      </c>
      <c r="D172" s="12" t="s">
        <v>1006</v>
      </c>
      <c r="E172" s="16">
        <v>5518386.0</v>
      </c>
      <c r="F172" s="10" t="s">
        <v>1007</v>
      </c>
      <c r="G172" s="10" t="s">
        <v>1008</v>
      </c>
      <c r="H172" s="10" t="s">
        <v>1009</v>
      </c>
      <c r="I172" s="10" t="s">
        <v>735</v>
      </c>
      <c r="J172" s="11" t="s">
        <v>34</v>
      </c>
      <c r="K172" s="11" t="s">
        <v>35</v>
      </c>
      <c r="L172" s="10">
        <v>250.0</v>
      </c>
      <c r="M172" s="10"/>
      <c r="N172" s="20">
        <v>70.0</v>
      </c>
      <c r="O172" s="10" t="s">
        <v>37</v>
      </c>
      <c r="P172" s="10" t="s">
        <v>37</v>
      </c>
      <c r="Q172" s="10" t="s">
        <v>37</v>
      </c>
      <c r="R172" s="10"/>
      <c r="S172" s="10" t="s">
        <v>38</v>
      </c>
      <c r="T172" s="10" t="s">
        <v>518</v>
      </c>
      <c r="U172" s="10"/>
      <c r="V172" s="10" t="s">
        <v>34</v>
      </c>
      <c r="W172" s="10" t="s">
        <v>34</v>
      </c>
      <c r="X172" s="10" t="s">
        <v>34</v>
      </c>
      <c r="Y172" s="10" t="s">
        <v>583</v>
      </c>
      <c r="Z172" s="10" t="s">
        <v>1010</v>
      </c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10" t="s">
        <v>1011</v>
      </c>
      <c r="B173" s="10" t="s">
        <v>1012</v>
      </c>
      <c r="C173" s="15" t="s">
        <v>112</v>
      </c>
      <c r="D173" s="12" t="s">
        <v>1013</v>
      </c>
      <c r="E173" s="16" t="s">
        <v>1014</v>
      </c>
      <c r="F173" s="10" t="s">
        <v>1015</v>
      </c>
      <c r="G173" s="10" t="s">
        <v>1016</v>
      </c>
      <c r="H173" s="10" t="s">
        <v>1017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10" t="s">
        <v>1018</v>
      </c>
      <c r="B174" s="10" t="s">
        <v>1012</v>
      </c>
      <c r="C174" s="15" t="s">
        <v>112</v>
      </c>
      <c r="D174" s="12" t="s">
        <v>1019</v>
      </c>
      <c r="E174" s="16" t="s">
        <v>1020</v>
      </c>
      <c r="F174" s="10" t="s">
        <v>1021</v>
      </c>
      <c r="G174" s="10" t="s">
        <v>1022</v>
      </c>
      <c r="H174" s="10" t="s">
        <v>1023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10" t="s">
        <v>1024</v>
      </c>
      <c r="B175" s="10" t="s">
        <v>1012</v>
      </c>
      <c r="C175" s="15" t="s">
        <v>112</v>
      </c>
      <c r="D175" s="12" t="s">
        <v>1025</v>
      </c>
      <c r="E175" s="16" t="s">
        <v>1026</v>
      </c>
      <c r="F175" s="10" t="s">
        <v>1027</v>
      </c>
      <c r="G175" s="10" t="s">
        <v>1028</v>
      </c>
      <c r="H175" s="10" t="s">
        <v>1029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10" t="s">
        <v>1030</v>
      </c>
      <c r="B176" s="10" t="s">
        <v>1012</v>
      </c>
      <c r="C176" s="15" t="s">
        <v>112</v>
      </c>
      <c r="D176" s="12" t="s">
        <v>1031</v>
      </c>
      <c r="E176" s="16" t="s">
        <v>1032</v>
      </c>
      <c r="F176" s="10" t="s">
        <v>1033</v>
      </c>
      <c r="G176" s="10" t="s">
        <v>1034</v>
      </c>
      <c r="H176" s="10" t="s">
        <v>1035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10" t="s">
        <v>1036</v>
      </c>
      <c r="B177" s="10" t="s">
        <v>1012</v>
      </c>
      <c r="C177" s="15" t="s">
        <v>112</v>
      </c>
      <c r="D177" s="12" t="s">
        <v>1037</v>
      </c>
      <c r="E177" s="16" t="s">
        <v>1038</v>
      </c>
      <c r="F177" s="10" t="s">
        <v>1039</v>
      </c>
      <c r="G177" s="10" t="s">
        <v>1040</v>
      </c>
      <c r="H177" s="10" t="s">
        <v>1041</v>
      </c>
      <c r="I177" s="10"/>
      <c r="J177" s="10"/>
      <c r="K177" s="10"/>
      <c r="L177" s="10"/>
      <c r="M177" s="10"/>
      <c r="N177" s="22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10" t="s">
        <v>1042</v>
      </c>
      <c r="B178" s="10" t="s">
        <v>1012</v>
      </c>
      <c r="C178" s="15" t="s">
        <v>112</v>
      </c>
      <c r="D178" s="12" t="s">
        <v>1043</v>
      </c>
      <c r="E178" s="16" t="s">
        <v>1044</v>
      </c>
      <c r="F178" s="10" t="s">
        <v>1045</v>
      </c>
      <c r="G178" s="10" t="s">
        <v>1046</v>
      </c>
      <c r="H178" s="10" t="s">
        <v>1047</v>
      </c>
      <c r="I178" s="10"/>
      <c r="J178" s="10"/>
      <c r="K178" s="10"/>
      <c r="L178" s="10"/>
      <c r="M178" s="10"/>
      <c r="N178" s="22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10" t="s">
        <v>1048</v>
      </c>
      <c r="B179" s="10" t="s">
        <v>1012</v>
      </c>
      <c r="C179" s="15" t="s">
        <v>112</v>
      </c>
      <c r="D179" s="12" t="s">
        <v>1049</v>
      </c>
      <c r="E179" s="16" t="s">
        <v>1050</v>
      </c>
      <c r="F179" s="10" t="s">
        <v>1051</v>
      </c>
      <c r="G179" s="10" t="s">
        <v>1052</v>
      </c>
      <c r="H179" s="10" t="s">
        <v>1053</v>
      </c>
      <c r="I179" s="10"/>
      <c r="J179" s="10"/>
      <c r="K179" s="10"/>
      <c r="L179" s="10"/>
      <c r="M179" s="10"/>
      <c r="N179" s="22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10" t="s">
        <v>1054</v>
      </c>
      <c r="B180" s="10" t="s">
        <v>1012</v>
      </c>
      <c r="C180" s="15" t="s">
        <v>112</v>
      </c>
      <c r="D180" s="12" t="s">
        <v>1055</v>
      </c>
      <c r="E180" s="16" t="s">
        <v>1056</v>
      </c>
      <c r="F180" s="10" t="s">
        <v>1057</v>
      </c>
      <c r="G180" s="10" t="s">
        <v>1058</v>
      </c>
      <c r="H180" s="10" t="s">
        <v>1059</v>
      </c>
      <c r="I180" s="10"/>
      <c r="J180" s="10"/>
      <c r="K180" s="10"/>
      <c r="L180" s="10"/>
      <c r="M180" s="10"/>
      <c r="N180" s="22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10" t="s">
        <v>1060</v>
      </c>
      <c r="B181" s="10" t="s">
        <v>1012</v>
      </c>
      <c r="C181" s="15" t="s">
        <v>112</v>
      </c>
      <c r="D181" s="12" t="s">
        <v>1061</v>
      </c>
      <c r="E181" s="16" t="s">
        <v>1062</v>
      </c>
      <c r="F181" s="10" t="s">
        <v>1063</v>
      </c>
      <c r="G181" s="10" t="s">
        <v>1064</v>
      </c>
      <c r="H181" s="10" t="s">
        <v>1065</v>
      </c>
      <c r="I181" s="10"/>
      <c r="J181" s="10"/>
      <c r="K181" s="10"/>
      <c r="L181" s="10"/>
      <c r="M181" s="10"/>
      <c r="N181" s="22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10" t="s">
        <v>1066</v>
      </c>
      <c r="B182" s="10" t="s">
        <v>1012</v>
      </c>
      <c r="C182" s="15" t="s">
        <v>112</v>
      </c>
      <c r="D182" s="12" t="s">
        <v>1067</v>
      </c>
      <c r="E182" s="16" t="s">
        <v>1068</v>
      </c>
      <c r="F182" s="10" t="s">
        <v>1069</v>
      </c>
      <c r="G182" s="10" t="s">
        <v>1070</v>
      </c>
      <c r="H182" s="10" t="s">
        <v>1071</v>
      </c>
      <c r="I182" s="10"/>
      <c r="J182" s="10"/>
      <c r="K182" s="10"/>
      <c r="L182" s="10"/>
      <c r="M182" s="10"/>
      <c r="N182" s="22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10" t="s">
        <v>1072</v>
      </c>
      <c r="B183" s="10" t="s">
        <v>1012</v>
      </c>
      <c r="C183" s="11" t="s">
        <v>29</v>
      </c>
      <c r="D183" s="12" t="s">
        <v>1073</v>
      </c>
      <c r="E183" s="16" t="s">
        <v>1074</v>
      </c>
      <c r="F183" s="10" t="s">
        <v>1075</v>
      </c>
      <c r="G183" s="10" t="s">
        <v>1076</v>
      </c>
      <c r="H183" s="10" t="s">
        <v>1077</v>
      </c>
      <c r="I183" s="10"/>
      <c r="J183" s="10"/>
      <c r="K183" s="10"/>
      <c r="L183" s="10"/>
      <c r="M183" s="10"/>
      <c r="N183" s="22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10" t="s">
        <v>1078</v>
      </c>
      <c r="B184" s="10" t="s">
        <v>1012</v>
      </c>
      <c r="C184" s="11" t="s">
        <v>29</v>
      </c>
      <c r="D184" s="12" t="s">
        <v>1079</v>
      </c>
      <c r="E184" s="16" t="s">
        <v>1080</v>
      </c>
      <c r="F184" s="10" t="s">
        <v>1081</v>
      </c>
      <c r="G184" s="10" t="s">
        <v>1082</v>
      </c>
      <c r="H184" s="10" t="s">
        <v>1083</v>
      </c>
      <c r="I184" s="10"/>
      <c r="J184" s="10"/>
      <c r="K184" s="10"/>
      <c r="L184" s="10"/>
      <c r="M184" s="10"/>
      <c r="N184" s="22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 t="s">
        <v>1084</v>
      </c>
      <c r="B185" s="10" t="s">
        <v>1012</v>
      </c>
      <c r="C185" s="15" t="s">
        <v>29</v>
      </c>
      <c r="D185" s="12" t="s">
        <v>1085</v>
      </c>
      <c r="E185" s="16" t="s">
        <v>1086</v>
      </c>
      <c r="F185" s="10" t="s">
        <v>1087</v>
      </c>
      <c r="G185" s="10" t="s">
        <v>1088</v>
      </c>
      <c r="H185" s="10" t="s">
        <v>1089</v>
      </c>
      <c r="I185" s="10"/>
      <c r="J185" s="10"/>
      <c r="K185" s="10"/>
      <c r="L185" s="10"/>
      <c r="M185" s="10"/>
      <c r="N185" s="22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 t="s">
        <v>1090</v>
      </c>
      <c r="B186" s="10" t="s">
        <v>1012</v>
      </c>
      <c r="C186" s="15" t="s">
        <v>211</v>
      </c>
      <c r="D186" s="12"/>
      <c r="E186" s="16" t="s">
        <v>1091</v>
      </c>
      <c r="F186" s="10" t="s">
        <v>1092</v>
      </c>
      <c r="G186" s="10"/>
      <c r="H186" s="10" t="s">
        <v>1053</v>
      </c>
      <c r="I186" s="10"/>
      <c r="J186" s="10"/>
      <c r="K186" s="10"/>
      <c r="L186" s="10"/>
      <c r="M186" s="10"/>
      <c r="N186" s="22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 t="s">
        <v>1093</v>
      </c>
      <c r="B187" s="10" t="s">
        <v>1012</v>
      </c>
      <c r="C187" s="15" t="s">
        <v>211</v>
      </c>
      <c r="D187" s="12" t="s">
        <v>1094</v>
      </c>
      <c r="E187" s="16" t="s">
        <v>1095</v>
      </c>
      <c r="F187" s="10" t="s">
        <v>1096</v>
      </c>
      <c r="G187" s="10" t="s">
        <v>1097</v>
      </c>
      <c r="H187" s="10" t="s">
        <v>1098</v>
      </c>
      <c r="I187" s="10"/>
      <c r="J187" s="10"/>
      <c r="K187" s="10"/>
      <c r="L187" s="10"/>
      <c r="M187" s="10"/>
      <c r="N187" s="22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 t="s">
        <v>1099</v>
      </c>
      <c r="B188" s="10" t="s">
        <v>1012</v>
      </c>
      <c r="C188" s="10" t="s">
        <v>262</v>
      </c>
      <c r="D188" s="12" t="s">
        <v>1100</v>
      </c>
      <c r="E188" s="16" t="s">
        <v>1101</v>
      </c>
      <c r="F188" s="10" t="s">
        <v>1102</v>
      </c>
      <c r="G188" s="10" t="s">
        <v>1103</v>
      </c>
      <c r="H188" s="10" t="s">
        <v>1089</v>
      </c>
      <c r="I188" s="10"/>
      <c r="J188" s="10"/>
      <c r="K188" s="10"/>
      <c r="L188" s="10"/>
      <c r="M188" s="10"/>
      <c r="N188" s="22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 t="s">
        <v>1104</v>
      </c>
      <c r="B189" s="10" t="s">
        <v>1012</v>
      </c>
      <c r="C189" s="10" t="s">
        <v>262</v>
      </c>
      <c r="D189" s="12" t="s">
        <v>1105</v>
      </c>
      <c r="E189" s="16" t="s">
        <v>1106</v>
      </c>
      <c r="F189" s="10" t="s">
        <v>1107</v>
      </c>
      <c r="G189" s="10" t="s">
        <v>1108</v>
      </c>
      <c r="H189" s="10" t="s">
        <v>1109</v>
      </c>
      <c r="I189" s="10"/>
      <c r="J189" s="10"/>
      <c r="K189" s="10"/>
      <c r="L189" s="10"/>
      <c r="M189" s="10"/>
      <c r="N189" s="22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 t="s">
        <v>1110</v>
      </c>
      <c r="B190" s="10" t="s">
        <v>1012</v>
      </c>
      <c r="C190" s="10" t="s">
        <v>262</v>
      </c>
      <c r="D190" s="12" t="s">
        <v>1111</v>
      </c>
      <c r="E190" s="16" t="s">
        <v>1112</v>
      </c>
      <c r="F190" s="10" t="s">
        <v>1113</v>
      </c>
      <c r="G190" s="10" t="s">
        <v>1114</v>
      </c>
      <c r="H190" s="10" t="s">
        <v>1053</v>
      </c>
      <c r="I190" s="10"/>
      <c r="J190" s="10"/>
      <c r="K190" s="10"/>
      <c r="L190" s="10"/>
      <c r="M190" s="10"/>
      <c r="N190" s="22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 t="s">
        <v>1115</v>
      </c>
      <c r="B191" s="10" t="s">
        <v>1012</v>
      </c>
      <c r="C191" s="10" t="s">
        <v>262</v>
      </c>
      <c r="D191" s="12" t="s">
        <v>1116</v>
      </c>
      <c r="E191" s="16" t="s">
        <v>1117</v>
      </c>
      <c r="F191" s="10" t="s">
        <v>1118</v>
      </c>
      <c r="G191" s="10" t="s">
        <v>1119</v>
      </c>
      <c r="H191" s="10" t="s">
        <v>1120</v>
      </c>
      <c r="I191" s="10"/>
      <c r="J191" s="10"/>
      <c r="K191" s="10"/>
      <c r="L191" s="10"/>
      <c r="M191" s="10"/>
      <c r="N191" s="22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 t="s">
        <v>1121</v>
      </c>
      <c r="B192" s="10" t="s">
        <v>1012</v>
      </c>
      <c r="C192" s="11" t="s">
        <v>388</v>
      </c>
      <c r="D192" s="12" t="s">
        <v>1122</v>
      </c>
      <c r="E192" s="16" t="s">
        <v>1123</v>
      </c>
      <c r="F192" s="10" t="s">
        <v>1124</v>
      </c>
      <c r="G192" s="10" t="s">
        <v>1125</v>
      </c>
      <c r="H192" s="10" t="s">
        <v>1126</v>
      </c>
      <c r="I192" s="11">
        <v>1500.0</v>
      </c>
      <c r="J192" s="11" t="s">
        <v>34</v>
      </c>
      <c r="K192" s="11" t="s">
        <v>35</v>
      </c>
      <c r="L192" s="11">
        <v>1000.0</v>
      </c>
      <c r="M192" s="10"/>
      <c r="N192" s="22"/>
      <c r="O192" s="11" t="s">
        <v>37</v>
      </c>
      <c r="P192" s="11" t="s">
        <v>74</v>
      </c>
      <c r="Q192" s="11" t="s">
        <v>74</v>
      </c>
      <c r="R192" s="10"/>
      <c r="S192" s="11" t="s">
        <v>38</v>
      </c>
      <c r="T192" s="10"/>
      <c r="U192" s="10"/>
      <c r="V192" s="11" t="s">
        <v>34</v>
      </c>
      <c r="W192" s="11" t="s">
        <v>34</v>
      </c>
      <c r="X192" s="11" t="s">
        <v>34</v>
      </c>
      <c r="Y192" s="11" t="s">
        <v>583</v>
      </c>
      <c r="Z192" s="11" t="s">
        <v>1127</v>
      </c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 t="s">
        <v>1128</v>
      </c>
      <c r="B193" s="10" t="s">
        <v>1012</v>
      </c>
      <c r="C193" s="11" t="s">
        <v>388</v>
      </c>
      <c r="D193" s="12"/>
      <c r="E193" s="16" t="s">
        <v>1129</v>
      </c>
      <c r="F193" s="10" t="s">
        <v>1130</v>
      </c>
      <c r="G193" s="10" t="s">
        <v>1131</v>
      </c>
      <c r="H193" s="10" t="s">
        <v>1132</v>
      </c>
      <c r="I193" s="11">
        <v>500.0</v>
      </c>
      <c r="J193" s="11" t="s">
        <v>34</v>
      </c>
      <c r="K193" s="11" t="s">
        <v>35</v>
      </c>
      <c r="L193" s="11">
        <v>400.0</v>
      </c>
      <c r="M193" s="10"/>
      <c r="N193" s="22"/>
      <c r="O193" s="11" t="s">
        <v>37</v>
      </c>
      <c r="P193" s="11" t="s">
        <v>74</v>
      </c>
      <c r="Q193" s="11" t="s">
        <v>74</v>
      </c>
      <c r="R193" s="10"/>
      <c r="S193" s="11" t="s">
        <v>38</v>
      </c>
      <c r="T193" s="10"/>
      <c r="U193" s="10"/>
      <c r="V193" s="11" t="s">
        <v>34</v>
      </c>
      <c r="W193" s="11" t="s">
        <v>34</v>
      </c>
      <c r="X193" s="11" t="s">
        <v>34</v>
      </c>
      <c r="Y193" s="11" t="s">
        <v>583</v>
      </c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 t="s">
        <v>1133</v>
      </c>
      <c r="B194" s="10" t="s">
        <v>1012</v>
      </c>
      <c r="C194" s="11" t="s">
        <v>388</v>
      </c>
      <c r="D194" s="12" t="s">
        <v>1134</v>
      </c>
      <c r="E194" s="16">
        <v>5118783.0</v>
      </c>
      <c r="F194" s="10" t="s">
        <v>1135</v>
      </c>
      <c r="G194" s="10"/>
      <c r="H194" s="10" t="s">
        <v>1136</v>
      </c>
      <c r="I194" s="10"/>
      <c r="J194" s="10"/>
      <c r="K194" s="10"/>
      <c r="L194" s="10"/>
      <c r="M194" s="10"/>
      <c r="N194" s="22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 t="s">
        <v>1137</v>
      </c>
      <c r="B195" s="10" t="s">
        <v>1012</v>
      </c>
      <c r="C195" s="10" t="s">
        <v>388</v>
      </c>
      <c r="D195" s="12"/>
      <c r="E195" s="16"/>
      <c r="F195" s="10"/>
      <c r="G195" s="10"/>
      <c r="H195" s="10"/>
      <c r="I195" s="10"/>
      <c r="J195" s="10"/>
      <c r="K195" s="10"/>
      <c r="L195" s="10"/>
      <c r="M195" s="10"/>
      <c r="N195" s="22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 t="s">
        <v>1138</v>
      </c>
      <c r="B196" s="10" t="s">
        <v>1012</v>
      </c>
      <c r="C196" s="10" t="s">
        <v>250</v>
      </c>
      <c r="D196" s="12"/>
      <c r="E196" s="16" t="s">
        <v>1123</v>
      </c>
      <c r="F196" s="10" t="s">
        <v>1124</v>
      </c>
      <c r="G196" s="10" t="s">
        <v>1125</v>
      </c>
      <c r="H196" s="10" t="s">
        <v>1126</v>
      </c>
      <c r="I196" s="10"/>
      <c r="J196" s="10"/>
      <c r="K196" s="10"/>
      <c r="L196" s="10"/>
      <c r="M196" s="10"/>
      <c r="N196" s="22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 t="s">
        <v>1139</v>
      </c>
      <c r="B197" s="10" t="s">
        <v>1012</v>
      </c>
      <c r="C197" s="10" t="s">
        <v>250</v>
      </c>
      <c r="D197" s="12" t="s">
        <v>1140</v>
      </c>
      <c r="E197" s="16">
        <f>3725118783</f>
        <v>3725118783</v>
      </c>
      <c r="F197" s="10"/>
      <c r="G197" s="10"/>
      <c r="H197" s="10"/>
      <c r="I197" s="10"/>
      <c r="J197" s="10"/>
      <c r="K197" s="10"/>
      <c r="L197" s="10"/>
      <c r="M197" s="10"/>
      <c r="N197" s="22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 t="s">
        <v>1141</v>
      </c>
      <c r="B198" s="10" t="s">
        <v>1012</v>
      </c>
      <c r="C198" s="10" t="s">
        <v>250</v>
      </c>
      <c r="D198" s="12"/>
      <c r="E198" s="16">
        <f>+3725118783</f>
        <v>3725118783</v>
      </c>
      <c r="F198" s="10"/>
      <c r="G198" s="10"/>
      <c r="H198" s="10"/>
      <c r="I198" s="10"/>
      <c r="J198" s="10"/>
      <c r="K198" s="10"/>
      <c r="L198" s="10"/>
      <c r="M198" s="10"/>
      <c r="N198" s="22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 t="s">
        <v>1142</v>
      </c>
      <c r="B199" s="10" t="s">
        <v>1012</v>
      </c>
      <c r="C199" s="10" t="s">
        <v>250</v>
      </c>
      <c r="D199" s="12"/>
      <c r="E199" s="16"/>
      <c r="F199" s="10"/>
      <c r="G199" s="10"/>
      <c r="H199" s="10"/>
      <c r="I199" s="10"/>
      <c r="J199" s="10"/>
      <c r="K199" s="10"/>
      <c r="L199" s="10"/>
      <c r="M199" s="10"/>
      <c r="N199" s="22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 t="s">
        <v>1143</v>
      </c>
      <c r="B200" s="10" t="s">
        <v>1012</v>
      </c>
      <c r="C200" s="10" t="s">
        <v>90</v>
      </c>
      <c r="D200" s="12" t="s">
        <v>1144</v>
      </c>
      <c r="E200" s="16">
        <v>7353138.0</v>
      </c>
      <c r="F200" s="10" t="s">
        <v>1039</v>
      </c>
      <c r="G200" s="10"/>
      <c r="H200" s="10" t="s">
        <v>1145</v>
      </c>
      <c r="I200" s="10"/>
      <c r="J200" s="10"/>
      <c r="K200" s="10"/>
      <c r="L200" s="10"/>
      <c r="M200" s="10"/>
      <c r="N200" s="22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 t="s">
        <v>1146</v>
      </c>
      <c r="B201" s="10" t="s">
        <v>1012</v>
      </c>
      <c r="C201" s="10" t="s">
        <v>585</v>
      </c>
      <c r="D201" s="12" t="s">
        <v>1147</v>
      </c>
      <c r="E201" s="16" t="s">
        <v>1148</v>
      </c>
      <c r="F201" s="10" t="s">
        <v>1149</v>
      </c>
      <c r="G201" s="10"/>
      <c r="H201" s="10" t="s">
        <v>1150</v>
      </c>
      <c r="I201" s="10"/>
      <c r="J201" s="10"/>
      <c r="K201" s="10"/>
      <c r="L201" s="10"/>
      <c r="M201" s="10"/>
      <c r="N201" s="22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 t="s">
        <v>1151</v>
      </c>
      <c r="B202" s="10" t="s">
        <v>1152</v>
      </c>
      <c r="C202" s="10" t="s">
        <v>90</v>
      </c>
      <c r="D202" s="12" t="s">
        <v>1153</v>
      </c>
      <c r="E202" s="16" t="s">
        <v>1154</v>
      </c>
      <c r="F202" s="10" t="s">
        <v>1155</v>
      </c>
      <c r="G202" s="10" t="s">
        <v>1156</v>
      </c>
      <c r="H202" s="10" t="s">
        <v>1157</v>
      </c>
      <c r="I202" s="10"/>
      <c r="J202" s="11" t="s">
        <v>34</v>
      </c>
      <c r="K202" s="10"/>
      <c r="L202" s="10"/>
      <c r="M202" s="10"/>
      <c r="N202" s="22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 t="s">
        <v>1158</v>
      </c>
      <c r="B203" s="10" t="s">
        <v>1152</v>
      </c>
      <c r="C203" s="11" t="s">
        <v>29</v>
      </c>
      <c r="D203" s="12" t="s">
        <v>1159</v>
      </c>
      <c r="E203" s="16" t="s">
        <v>1160</v>
      </c>
      <c r="F203" s="10" t="s">
        <v>1161</v>
      </c>
      <c r="G203" s="10" t="s">
        <v>1162</v>
      </c>
      <c r="H203" s="10" t="s">
        <v>1163</v>
      </c>
      <c r="I203" s="10"/>
      <c r="J203" s="11" t="s">
        <v>34</v>
      </c>
      <c r="K203" s="11" t="s">
        <v>35</v>
      </c>
      <c r="L203" s="10" t="s">
        <v>1164</v>
      </c>
      <c r="M203" s="10"/>
      <c r="N203" s="22"/>
      <c r="O203" s="10"/>
      <c r="P203" s="10"/>
      <c r="Q203" s="11" t="s">
        <v>37</v>
      </c>
      <c r="R203" s="10"/>
      <c r="S203" s="10"/>
      <c r="T203" s="10"/>
      <c r="U203" s="10"/>
      <c r="V203" s="10"/>
      <c r="W203" s="10"/>
      <c r="X203" s="10" t="s">
        <v>412</v>
      </c>
      <c r="Y203" s="10" t="s">
        <v>412</v>
      </c>
      <c r="Z203" s="10" t="s">
        <v>1165</v>
      </c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 t="s">
        <v>1166</v>
      </c>
      <c r="B204" s="10" t="s">
        <v>1152</v>
      </c>
      <c r="C204" s="10" t="s">
        <v>262</v>
      </c>
      <c r="D204" s="12" t="s">
        <v>1167</v>
      </c>
      <c r="E204" s="16" t="s">
        <v>1168</v>
      </c>
      <c r="F204" s="10" t="s">
        <v>1169</v>
      </c>
      <c r="G204" s="10" t="s">
        <v>1170</v>
      </c>
      <c r="H204" s="10" t="s">
        <v>1157</v>
      </c>
      <c r="I204" s="10"/>
      <c r="J204" s="11" t="s">
        <v>34</v>
      </c>
      <c r="K204" s="10" t="s">
        <v>1171</v>
      </c>
      <c r="L204" s="10"/>
      <c r="M204" s="10"/>
      <c r="N204" s="22"/>
      <c r="O204" s="10"/>
      <c r="P204" s="10"/>
      <c r="Q204" s="10"/>
      <c r="R204" s="10"/>
      <c r="S204" s="10"/>
      <c r="T204" s="10"/>
      <c r="U204" s="10"/>
      <c r="V204" s="10"/>
      <c r="W204" s="10" t="s">
        <v>412</v>
      </c>
      <c r="X204" s="10" t="s">
        <v>412</v>
      </c>
      <c r="Y204" s="10" t="s">
        <v>412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 t="s">
        <v>1172</v>
      </c>
      <c r="B205" s="10" t="s">
        <v>1152</v>
      </c>
      <c r="C205" s="15" t="s">
        <v>29</v>
      </c>
      <c r="D205" s="12" t="s">
        <v>1173</v>
      </c>
      <c r="E205" s="16" t="s">
        <v>1174</v>
      </c>
      <c r="F205" s="10" t="s">
        <v>1175</v>
      </c>
      <c r="G205" s="10" t="s">
        <v>1176</v>
      </c>
      <c r="H205" s="10" t="s">
        <v>1157</v>
      </c>
      <c r="I205" s="10"/>
      <c r="J205" s="10"/>
      <c r="K205" s="10"/>
      <c r="L205" s="10"/>
      <c r="M205" s="10"/>
      <c r="N205" s="22"/>
      <c r="O205" s="10"/>
      <c r="P205" s="10"/>
      <c r="Q205" s="10"/>
      <c r="R205" s="10"/>
      <c r="S205" s="10" t="s">
        <v>412</v>
      </c>
      <c r="T205" s="10" t="s">
        <v>412</v>
      </c>
      <c r="U205" s="10"/>
      <c r="V205" s="10"/>
      <c r="W205" s="10" t="s">
        <v>412</v>
      </c>
      <c r="X205" s="10" t="s">
        <v>412</v>
      </c>
      <c r="Y205" s="10" t="s">
        <v>412</v>
      </c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 t="s">
        <v>1177</v>
      </c>
      <c r="B206" s="10" t="s">
        <v>1152</v>
      </c>
      <c r="C206" s="15" t="s">
        <v>112</v>
      </c>
      <c r="D206" s="12" t="s">
        <v>1178</v>
      </c>
      <c r="E206" s="16" t="s">
        <v>1179</v>
      </c>
      <c r="F206" s="10" t="s">
        <v>1180</v>
      </c>
      <c r="G206" s="10" t="s">
        <v>1181</v>
      </c>
      <c r="H206" s="10" t="s">
        <v>1157</v>
      </c>
      <c r="I206" s="10"/>
      <c r="J206" s="10"/>
      <c r="K206" s="10"/>
      <c r="L206" s="10"/>
      <c r="M206" s="10"/>
      <c r="N206" s="22"/>
      <c r="O206" s="10"/>
      <c r="P206" s="10"/>
      <c r="Q206" s="10"/>
      <c r="R206" s="10"/>
      <c r="S206" s="10"/>
      <c r="T206" s="10"/>
      <c r="U206" s="10"/>
      <c r="V206" s="10"/>
      <c r="W206" s="10" t="s">
        <v>1182</v>
      </c>
      <c r="X206" s="10" t="s">
        <v>412</v>
      </c>
      <c r="Y206" s="10" t="s">
        <v>412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 t="s">
        <v>1183</v>
      </c>
      <c r="B207" s="10" t="s">
        <v>1152</v>
      </c>
      <c r="C207" s="15" t="s">
        <v>112</v>
      </c>
      <c r="D207" s="12" t="s">
        <v>1178</v>
      </c>
      <c r="E207" s="16" t="s">
        <v>1184</v>
      </c>
      <c r="F207" s="10" t="s">
        <v>1185</v>
      </c>
      <c r="G207" s="10" t="s">
        <v>1186</v>
      </c>
      <c r="H207" s="10" t="s">
        <v>1187</v>
      </c>
      <c r="I207" s="10"/>
      <c r="J207" s="10"/>
      <c r="K207" s="10"/>
      <c r="L207" s="10"/>
      <c r="M207" s="10"/>
      <c r="N207" s="22"/>
      <c r="O207" s="10"/>
      <c r="P207" s="10"/>
      <c r="Q207" s="10"/>
      <c r="R207" s="10"/>
      <c r="S207" s="10"/>
      <c r="T207" s="10"/>
      <c r="U207" s="10"/>
      <c r="V207" s="10"/>
      <c r="W207" s="10" t="s">
        <v>1182</v>
      </c>
      <c r="X207" s="10" t="s">
        <v>412</v>
      </c>
      <c r="Y207" s="10" t="s">
        <v>412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 t="s">
        <v>1188</v>
      </c>
      <c r="B208" s="10" t="s">
        <v>1152</v>
      </c>
      <c r="C208" s="15" t="s">
        <v>112</v>
      </c>
      <c r="D208" s="12" t="s">
        <v>1178</v>
      </c>
      <c r="E208" s="16" t="s">
        <v>1189</v>
      </c>
      <c r="F208" s="10" t="s">
        <v>1190</v>
      </c>
      <c r="G208" s="10"/>
      <c r="H208" s="10" t="s">
        <v>1191</v>
      </c>
      <c r="I208" s="10"/>
      <c r="J208" s="10"/>
      <c r="K208" s="10"/>
      <c r="L208" s="10"/>
      <c r="M208" s="10"/>
      <c r="N208" s="22"/>
      <c r="O208" s="10"/>
      <c r="P208" s="10"/>
      <c r="Q208" s="10"/>
      <c r="R208" s="10"/>
      <c r="S208" s="10"/>
      <c r="T208" s="10"/>
      <c r="U208" s="10"/>
      <c r="V208" s="10"/>
      <c r="W208" s="10" t="s">
        <v>1182</v>
      </c>
      <c r="X208" s="10" t="s">
        <v>412</v>
      </c>
      <c r="Y208" s="10" t="s">
        <v>412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 t="s">
        <v>1192</v>
      </c>
      <c r="B209" s="10" t="s">
        <v>1152</v>
      </c>
      <c r="C209" s="15" t="s">
        <v>29</v>
      </c>
      <c r="D209" s="12" t="s">
        <v>1193</v>
      </c>
      <c r="E209" s="16" t="s">
        <v>1194</v>
      </c>
      <c r="F209" s="10" t="s">
        <v>1195</v>
      </c>
      <c r="G209" s="10" t="s">
        <v>1196</v>
      </c>
      <c r="H209" s="10" t="s">
        <v>1197</v>
      </c>
      <c r="I209" s="10"/>
      <c r="J209" s="10"/>
      <c r="K209" s="10"/>
      <c r="L209" s="10"/>
      <c r="M209" s="10"/>
      <c r="N209" s="22"/>
      <c r="O209" s="10"/>
      <c r="P209" s="10"/>
      <c r="Q209" s="10"/>
      <c r="R209" s="10"/>
      <c r="S209" s="10"/>
      <c r="T209" s="10"/>
      <c r="U209" s="10"/>
      <c r="V209" s="10"/>
      <c r="W209" s="10" t="s">
        <v>412</v>
      </c>
      <c r="X209" s="10" t="s">
        <v>412</v>
      </c>
      <c r="Y209" s="10" t="s">
        <v>412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 t="s">
        <v>1198</v>
      </c>
      <c r="B210" s="10" t="s">
        <v>1152</v>
      </c>
      <c r="C210" s="11" t="s">
        <v>388</v>
      </c>
      <c r="D210" s="12" t="s">
        <v>1199</v>
      </c>
      <c r="E210" s="16" t="s">
        <v>1200</v>
      </c>
      <c r="F210" s="10" t="s">
        <v>1201</v>
      </c>
      <c r="G210" s="10" t="s">
        <v>1202</v>
      </c>
      <c r="H210" s="10" t="s">
        <v>1203</v>
      </c>
      <c r="I210" s="10"/>
      <c r="J210" s="11" t="s">
        <v>34</v>
      </c>
      <c r="K210" s="10"/>
      <c r="L210" s="10"/>
      <c r="M210" s="10"/>
      <c r="N210" s="22"/>
      <c r="O210" s="11" t="s">
        <v>37</v>
      </c>
      <c r="P210" s="10"/>
      <c r="Q210" s="10"/>
      <c r="R210" s="10"/>
      <c r="S210" s="10"/>
      <c r="T210" s="10"/>
      <c r="U210" s="10"/>
      <c r="V210" s="10"/>
      <c r="W210" s="10"/>
      <c r="X210" s="10" t="s">
        <v>412</v>
      </c>
      <c r="Y210" s="10" t="s">
        <v>412</v>
      </c>
      <c r="Z210" s="10" t="s">
        <v>1204</v>
      </c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 t="s">
        <v>1198</v>
      </c>
      <c r="B211" s="10" t="s">
        <v>1152</v>
      </c>
      <c r="C211" s="10" t="s">
        <v>250</v>
      </c>
      <c r="D211" s="12" t="s">
        <v>1199</v>
      </c>
      <c r="E211" s="16" t="s">
        <v>1200</v>
      </c>
      <c r="F211" s="10" t="s">
        <v>1201</v>
      </c>
      <c r="G211" s="10" t="s">
        <v>1202</v>
      </c>
      <c r="H211" s="10" t="s">
        <v>1205</v>
      </c>
      <c r="I211" s="10"/>
      <c r="J211" s="10"/>
      <c r="K211" s="10"/>
      <c r="L211" s="10"/>
      <c r="M211" s="10"/>
      <c r="N211" s="22"/>
      <c r="O211" s="10"/>
      <c r="P211" s="10"/>
      <c r="Q211" s="10"/>
      <c r="R211" s="10"/>
      <c r="S211" s="10"/>
      <c r="T211" s="10"/>
      <c r="U211" s="10"/>
      <c r="V211" s="10"/>
      <c r="W211" s="10"/>
      <c r="X211" s="10" t="s">
        <v>412</v>
      </c>
      <c r="Y211" s="10" t="s">
        <v>412</v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 t="s">
        <v>1206</v>
      </c>
      <c r="B212" s="10" t="s">
        <v>1152</v>
      </c>
      <c r="C212" s="10" t="s">
        <v>250</v>
      </c>
      <c r="D212" s="12" t="s">
        <v>1207</v>
      </c>
      <c r="E212" s="16" t="s">
        <v>1208</v>
      </c>
      <c r="F212" s="10" t="s">
        <v>1209</v>
      </c>
      <c r="G212" s="10"/>
      <c r="H212" s="10" t="s">
        <v>1210</v>
      </c>
      <c r="I212" s="10"/>
      <c r="J212" s="11" t="s">
        <v>38</v>
      </c>
      <c r="K212" s="10"/>
      <c r="L212" s="10"/>
      <c r="M212" s="10"/>
      <c r="N212" s="22"/>
      <c r="O212" s="10"/>
      <c r="P212" s="10"/>
      <c r="Q212" s="10"/>
      <c r="R212" s="10"/>
      <c r="S212" s="10"/>
      <c r="T212" s="10"/>
      <c r="U212" s="10"/>
      <c r="V212" s="10"/>
      <c r="W212" s="10"/>
      <c r="X212" s="10" t="s">
        <v>412</v>
      </c>
      <c r="Y212" s="10" t="s">
        <v>412</v>
      </c>
      <c r="Z212" s="10" t="s">
        <v>1211</v>
      </c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 t="s">
        <v>1212</v>
      </c>
      <c r="B213" s="10" t="s">
        <v>1152</v>
      </c>
      <c r="C213" s="15" t="s">
        <v>400</v>
      </c>
      <c r="D213" s="12" t="s">
        <v>1213</v>
      </c>
      <c r="E213" s="16" t="s">
        <v>1214</v>
      </c>
      <c r="F213" s="10" t="s">
        <v>1215</v>
      </c>
      <c r="G213" s="10" t="s">
        <v>1216</v>
      </c>
      <c r="H213" s="10" t="s">
        <v>1217</v>
      </c>
      <c r="I213" s="10"/>
      <c r="J213" s="11" t="s">
        <v>34</v>
      </c>
      <c r="K213" s="11" t="s">
        <v>35</v>
      </c>
      <c r="L213" s="10" t="s">
        <v>1218</v>
      </c>
      <c r="M213" s="10"/>
      <c r="N213" s="22"/>
      <c r="O213" s="11" t="s">
        <v>37</v>
      </c>
      <c r="P213" s="10"/>
      <c r="Q213" s="10"/>
      <c r="R213" s="10"/>
      <c r="S213" s="10"/>
      <c r="T213" s="10"/>
      <c r="U213" s="10"/>
      <c r="V213" s="10"/>
      <c r="W213" s="10" t="s">
        <v>412</v>
      </c>
      <c r="X213" s="10" t="s">
        <v>412</v>
      </c>
      <c r="Y213" s="10" t="s">
        <v>412</v>
      </c>
      <c r="Z213" s="10" t="s">
        <v>1219</v>
      </c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 t="s">
        <v>1220</v>
      </c>
      <c r="B214" s="10" t="s">
        <v>1152</v>
      </c>
      <c r="C214" s="15" t="s">
        <v>211</v>
      </c>
      <c r="D214" s="12" t="s">
        <v>1221</v>
      </c>
      <c r="E214" s="16" t="s">
        <v>1222</v>
      </c>
      <c r="F214" s="10" t="s">
        <v>1223</v>
      </c>
      <c r="G214" s="10" t="s">
        <v>1224</v>
      </c>
      <c r="H214" s="10" t="s">
        <v>1225</v>
      </c>
      <c r="I214" s="10"/>
      <c r="J214" s="10"/>
      <c r="K214" s="10"/>
      <c r="L214" s="10"/>
      <c r="M214" s="10"/>
      <c r="N214" s="22"/>
      <c r="O214" s="10" t="s">
        <v>1226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 t="s">
        <v>1227</v>
      </c>
      <c r="B215" s="10" t="s">
        <v>1152</v>
      </c>
      <c r="C215" s="15" t="s">
        <v>211</v>
      </c>
      <c r="D215" s="12" t="s">
        <v>1228</v>
      </c>
      <c r="E215" s="16" t="s">
        <v>1229</v>
      </c>
      <c r="F215" s="10"/>
      <c r="G215" s="10"/>
      <c r="H215" s="10" t="s">
        <v>1230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 t="s">
        <v>1231</v>
      </c>
      <c r="B216" s="10" t="s">
        <v>1152</v>
      </c>
      <c r="C216" s="15" t="s">
        <v>801</v>
      </c>
      <c r="D216" s="12" t="s">
        <v>1232</v>
      </c>
      <c r="E216" s="16" t="s">
        <v>1233</v>
      </c>
      <c r="F216" s="10" t="s">
        <v>1234</v>
      </c>
      <c r="G216" s="10" t="s">
        <v>1235</v>
      </c>
      <c r="H216" s="10" t="s">
        <v>1236</v>
      </c>
      <c r="I216" s="10"/>
      <c r="J216" s="11" t="s">
        <v>34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 t="s">
        <v>1237</v>
      </c>
      <c r="B217" s="10" t="s">
        <v>1152</v>
      </c>
      <c r="C217" s="10" t="s">
        <v>90</v>
      </c>
      <c r="D217" s="12" t="s">
        <v>1238</v>
      </c>
      <c r="E217" s="16" t="s">
        <v>1239</v>
      </c>
      <c r="F217" s="10" t="s">
        <v>1240</v>
      </c>
      <c r="G217" s="10"/>
      <c r="H217" s="10" t="s">
        <v>1241</v>
      </c>
      <c r="I217" s="10"/>
      <c r="J217" s="11" t="s">
        <v>34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 t="s">
        <v>1242</v>
      </c>
      <c r="B218" s="10" t="s">
        <v>1152</v>
      </c>
      <c r="C218" s="10" t="s">
        <v>585</v>
      </c>
      <c r="D218" s="12" t="s">
        <v>1243</v>
      </c>
      <c r="E218" s="16">
        <v>5254172.0</v>
      </c>
      <c r="F218" s="10" t="s">
        <v>1244</v>
      </c>
      <c r="G218" s="10" t="s">
        <v>1245</v>
      </c>
      <c r="H218" s="10" t="s">
        <v>1246</v>
      </c>
      <c r="I218" s="10">
        <v>30.0</v>
      </c>
      <c r="J218" s="11" t="s">
        <v>34</v>
      </c>
      <c r="K218" s="11" t="s">
        <v>1247</v>
      </c>
      <c r="L218" s="10"/>
      <c r="M218" s="10"/>
      <c r="N218" s="10"/>
      <c r="O218" s="10" t="s">
        <v>1248</v>
      </c>
      <c r="P218" s="10"/>
      <c r="Q218" s="11" t="s">
        <v>37</v>
      </c>
      <c r="R218" s="10"/>
      <c r="S218" s="10"/>
      <c r="T218" s="10"/>
      <c r="U218" s="10"/>
      <c r="V218" s="10"/>
      <c r="W218" s="10"/>
      <c r="X218" s="10" t="s">
        <v>412</v>
      </c>
      <c r="Y218" s="10" t="s">
        <v>412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 t="s">
        <v>1249</v>
      </c>
      <c r="B219" s="10" t="s">
        <v>1152</v>
      </c>
      <c r="C219" s="10" t="s">
        <v>585</v>
      </c>
      <c r="D219" s="12" t="s">
        <v>1250</v>
      </c>
      <c r="E219" s="16" t="s">
        <v>1251</v>
      </c>
      <c r="F219" s="10" t="s">
        <v>1252</v>
      </c>
      <c r="G219" s="10"/>
      <c r="H219" s="10" t="s">
        <v>1253</v>
      </c>
      <c r="I219" s="11" t="s">
        <v>534</v>
      </c>
      <c r="J219" s="11" t="s">
        <v>34</v>
      </c>
      <c r="K219" s="10"/>
      <c r="L219" s="10"/>
      <c r="M219" s="10"/>
      <c r="N219" s="22"/>
      <c r="O219" s="10" t="s">
        <v>1248</v>
      </c>
      <c r="P219" s="10" t="s">
        <v>412</v>
      </c>
      <c r="Q219" s="10" t="s">
        <v>412</v>
      </c>
      <c r="R219" s="10"/>
      <c r="S219" s="10"/>
      <c r="T219" s="10"/>
      <c r="U219" s="10"/>
      <c r="V219" s="10"/>
      <c r="W219" s="10" t="s">
        <v>412</v>
      </c>
      <c r="X219" s="10" t="s">
        <v>412</v>
      </c>
      <c r="Y219" s="10" t="s">
        <v>412</v>
      </c>
      <c r="Z219" s="10" t="s">
        <v>1254</v>
      </c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 t="s">
        <v>1255</v>
      </c>
      <c r="B220" s="10" t="s">
        <v>1152</v>
      </c>
      <c r="C220" s="11" t="s">
        <v>29</v>
      </c>
      <c r="D220" s="12" t="s">
        <v>1256</v>
      </c>
      <c r="E220" s="16">
        <v>5.5689096E7</v>
      </c>
      <c r="F220" s="10" t="s">
        <v>1257</v>
      </c>
      <c r="G220" s="10"/>
      <c r="H220" s="10" t="s">
        <v>1258</v>
      </c>
      <c r="I220" s="11">
        <v>100.0</v>
      </c>
      <c r="J220" s="11" t="s">
        <v>34</v>
      </c>
      <c r="K220" s="10"/>
      <c r="L220" s="11">
        <v>80.0</v>
      </c>
      <c r="M220" s="10"/>
      <c r="N220" s="22"/>
      <c r="O220" s="10"/>
      <c r="P220" s="10"/>
      <c r="Q220" s="10"/>
      <c r="R220" s="10"/>
      <c r="S220" s="10"/>
      <c r="T220" s="10"/>
      <c r="U220" s="10"/>
      <c r="V220" s="10"/>
      <c r="W220" s="10"/>
      <c r="X220" s="10" t="s">
        <v>412</v>
      </c>
      <c r="Y220" s="10" t="s">
        <v>412</v>
      </c>
      <c r="Z220" s="11" t="s">
        <v>1259</v>
      </c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>
      <c r="A221" s="10" t="s">
        <v>1260</v>
      </c>
      <c r="B221" s="10" t="s">
        <v>1152</v>
      </c>
      <c r="C221" s="11" t="s">
        <v>29</v>
      </c>
      <c r="D221" s="12"/>
      <c r="E221" s="16">
        <v>5.6887488E7</v>
      </c>
      <c r="F221" s="10" t="s">
        <v>1261</v>
      </c>
      <c r="G221" s="10"/>
      <c r="H221" s="10" t="s">
        <v>1262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 t="s">
        <v>1263</v>
      </c>
      <c r="B222" s="10" t="s">
        <v>1152</v>
      </c>
      <c r="C222" s="11" t="s">
        <v>29</v>
      </c>
      <c r="D222" s="12"/>
      <c r="E222" s="16" t="s">
        <v>1264</v>
      </c>
      <c r="F222" s="10" t="s">
        <v>1265</v>
      </c>
      <c r="G222" s="10" t="s">
        <v>1266</v>
      </c>
      <c r="H222" s="10" t="s">
        <v>1267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 t="s">
        <v>1268</v>
      </c>
      <c r="B223" s="10" t="s">
        <v>1269</v>
      </c>
      <c r="C223" s="11" t="s">
        <v>29</v>
      </c>
      <c r="D223" s="12" t="s">
        <v>1270</v>
      </c>
      <c r="E223" s="16" t="s">
        <v>1271</v>
      </c>
      <c r="F223" s="10" t="s">
        <v>1272</v>
      </c>
      <c r="G223" s="10"/>
      <c r="H223" s="10" t="s">
        <v>1273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 t="s">
        <v>1274</v>
      </c>
      <c r="B224" s="10" t="s">
        <v>1269</v>
      </c>
      <c r="C224" s="11" t="s">
        <v>29</v>
      </c>
      <c r="D224" s="12" t="s">
        <v>1275</v>
      </c>
      <c r="E224" s="16"/>
      <c r="F224" s="10"/>
      <c r="G224" s="10"/>
      <c r="H224" s="10" t="s">
        <v>1276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 t="s">
        <v>1277</v>
      </c>
      <c r="B225" s="10" t="s">
        <v>1269</v>
      </c>
      <c r="C225" s="11" t="s">
        <v>29</v>
      </c>
      <c r="D225" s="12" t="s">
        <v>1278</v>
      </c>
      <c r="E225" s="16">
        <v>5.6242069E7</v>
      </c>
      <c r="F225" s="10" t="s">
        <v>1279</v>
      </c>
      <c r="G225" s="10" t="s">
        <v>1280</v>
      </c>
      <c r="H225" s="10" t="s">
        <v>1281</v>
      </c>
      <c r="I225" s="10">
        <v>40.0</v>
      </c>
      <c r="J225" s="11" t="s">
        <v>34</v>
      </c>
      <c r="K225" s="10" t="s">
        <v>1282</v>
      </c>
      <c r="L225" s="10"/>
      <c r="M225" s="10"/>
      <c r="N225" s="10"/>
      <c r="O225" s="10" t="s">
        <v>412</v>
      </c>
      <c r="P225" s="10"/>
      <c r="Q225" s="10" t="s">
        <v>412</v>
      </c>
      <c r="R225" s="10"/>
      <c r="S225" s="10"/>
      <c r="T225" s="10"/>
      <c r="U225" s="10"/>
      <c r="V225" s="10"/>
      <c r="W225" s="10" t="s">
        <v>461</v>
      </c>
      <c r="X225" s="10" t="s">
        <v>412</v>
      </c>
      <c r="Y225" s="10" t="s">
        <v>412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 t="s">
        <v>1283</v>
      </c>
      <c r="B226" s="10" t="s">
        <v>1269</v>
      </c>
      <c r="C226" s="11" t="s">
        <v>29</v>
      </c>
      <c r="D226" s="12" t="s">
        <v>1284</v>
      </c>
      <c r="E226" s="16">
        <v>5.3307091E7</v>
      </c>
      <c r="F226" s="10"/>
      <c r="G226" s="10" t="s">
        <v>1285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 t="s">
        <v>1286</v>
      </c>
      <c r="B227" s="10" t="s">
        <v>1269</v>
      </c>
      <c r="C227" s="11" t="s">
        <v>29</v>
      </c>
      <c r="D227" s="12" t="s">
        <v>1287</v>
      </c>
      <c r="E227" s="16" t="s">
        <v>1288</v>
      </c>
      <c r="F227" s="10" t="s">
        <v>1289</v>
      </c>
      <c r="G227" s="10" t="s">
        <v>1290</v>
      </c>
      <c r="H227" s="10" t="s">
        <v>1291</v>
      </c>
      <c r="I227" s="10">
        <v>40.0</v>
      </c>
      <c r="J227" s="11" t="s">
        <v>34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 t="s">
        <v>1292</v>
      </c>
      <c r="B228" s="10" t="s">
        <v>1269</v>
      </c>
      <c r="C228" s="11" t="s">
        <v>29</v>
      </c>
      <c r="D228" s="12" t="s">
        <v>1293</v>
      </c>
      <c r="E228" s="16" t="s">
        <v>1294</v>
      </c>
      <c r="F228" s="10" t="s">
        <v>1295</v>
      </c>
      <c r="G228" s="10" t="s">
        <v>1296</v>
      </c>
      <c r="H228" s="10" t="s">
        <v>1297</v>
      </c>
      <c r="I228" s="10">
        <v>100.0</v>
      </c>
      <c r="J228" s="11" t="s">
        <v>34</v>
      </c>
      <c r="K228" s="10"/>
      <c r="L228" s="10"/>
      <c r="M228" s="10"/>
      <c r="N228" s="10"/>
      <c r="O228" s="10"/>
      <c r="P228" s="10"/>
      <c r="Q228" s="10" t="s">
        <v>1298</v>
      </c>
      <c r="R228" s="10"/>
      <c r="S228" s="10"/>
      <c r="T228" s="10"/>
      <c r="U228" s="10"/>
      <c r="V228" s="10"/>
      <c r="W228" s="10"/>
      <c r="X228" s="10" t="s">
        <v>412</v>
      </c>
      <c r="Y228" s="10" t="s">
        <v>412</v>
      </c>
      <c r="Z228" s="10" t="s">
        <v>412</v>
      </c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 t="s">
        <v>1299</v>
      </c>
      <c r="B229" s="10" t="s">
        <v>1269</v>
      </c>
      <c r="C229" s="11" t="s">
        <v>29</v>
      </c>
      <c r="D229" s="12" t="s">
        <v>1300</v>
      </c>
      <c r="E229" s="16" t="s">
        <v>1301</v>
      </c>
      <c r="F229" s="10" t="s">
        <v>1302</v>
      </c>
      <c r="G229" s="10" t="s">
        <v>1303</v>
      </c>
      <c r="H229" s="10" t="s">
        <v>1304</v>
      </c>
      <c r="I229" s="10">
        <v>60.0</v>
      </c>
      <c r="J229" s="11" t="s">
        <v>34</v>
      </c>
      <c r="K229" s="10"/>
      <c r="L229" s="10"/>
      <c r="M229" s="10"/>
      <c r="N229" s="10"/>
      <c r="O229" s="10"/>
      <c r="P229" s="10"/>
      <c r="Q229" s="10" t="s">
        <v>1298</v>
      </c>
      <c r="R229" s="10"/>
      <c r="S229" s="10"/>
      <c r="T229" s="10"/>
      <c r="U229" s="10"/>
      <c r="V229" s="10"/>
      <c r="W229" s="10"/>
      <c r="X229" s="10" t="s">
        <v>412</v>
      </c>
      <c r="Y229" s="10" t="s">
        <v>412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 t="s">
        <v>1305</v>
      </c>
      <c r="B230" s="10" t="s">
        <v>1269</v>
      </c>
      <c r="C230" s="11" t="s">
        <v>29</v>
      </c>
      <c r="D230" s="12" t="s">
        <v>1306</v>
      </c>
      <c r="E230" s="16" t="s">
        <v>1307</v>
      </c>
      <c r="F230" s="10" t="s">
        <v>1308</v>
      </c>
      <c r="G230" s="10" t="s">
        <v>1309</v>
      </c>
      <c r="H230" s="10" t="s">
        <v>1310</v>
      </c>
      <c r="I230" s="10">
        <v>70.0</v>
      </c>
      <c r="J230" s="11" t="s">
        <v>34</v>
      </c>
      <c r="K230" s="10"/>
      <c r="L230" s="10"/>
      <c r="M230" s="10"/>
      <c r="N230" s="10"/>
      <c r="O230" s="10" t="s">
        <v>1311</v>
      </c>
      <c r="P230" s="10"/>
      <c r="Q230" s="10"/>
      <c r="R230" s="10"/>
      <c r="S230" s="10"/>
      <c r="T230" s="10"/>
      <c r="U230" s="10"/>
      <c r="V230" s="10"/>
      <c r="W230" s="10"/>
      <c r="X230" s="10" t="s">
        <v>412</v>
      </c>
      <c r="Y230" s="10" t="s">
        <v>412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 t="s">
        <v>1312</v>
      </c>
      <c r="B231" s="10" t="s">
        <v>1269</v>
      </c>
      <c r="C231" s="10" t="s">
        <v>29</v>
      </c>
      <c r="D231" s="12" t="s">
        <v>1313</v>
      </c>
      <c r="E231" s="16" t="s">
        <v>1314</v>
      </c>
      <c r="F231" s="10" t="s">
        <v>1315</v>
      </c>
      <c r="G231" s="10" t="s">
        <v>1316</v>
      </c>
      <c r="H231" s="10" t="s">
        <v>1317</v>
      </c>
      <c r="I231" s="10"/>
      <c r="J231" s="11" t="s">
        <v>34</v>
      </c>
      <c r="K231" s="10"/>
      <c r="L231" s="10"/>
      <c r="M231" s="10"/>
      <c r="N231" s="10"/>
      <c r="O231" s="10"/>
      <c r="P231" s="10"/>
      <c r="Q231" s="10"/>
      <c r="R231" s="10"/>
      <c r="S231" s="10" t="s">
        <v>1318</v>
      </c>
      <c r="T231" s="10" t="s">
        <v>1319</v>
      </c>
      <c r="U231" s="10"/>
      <c r="V231" s="10" t="s">
        <v>412</v>
      </c>
      <c r="W231" s="10" t="s">
        <v>412</v>
      </c>
      <c r="X231" s="10" t="s">
        <v>412</v>
      </c>
      <c r="Y231" s="10" t="s">
        <v>412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 t="s">
        <v>1320</v>
      </c>
      <c r="B232" s="10" t="s">
        <v>1269</v>
      </c>
      <c r="C232" s="11" t="s">
        <v>29</v>
      </c>
      <c r="D232" s="12" t="s">
        <v>1313</v>
      </c>
      <c r="E232" s="16" t="s">
        <v>1314</v>
      </c>
      <c r="F232" s="10" t="s">
        <v>1315</v>
      </c>
      <c r="G232" s="10" t="s">
        <v>1316</v>
      </c>
      <c r="H232" s="10" t="s">
        <v>1317</v>
      </c>
      <c r="I232" s="10"/>
      <c r="J232" s="11" t="s">
        <v>34</v>
      </c>
      <c r="K232" s="10"/>
      <c r="L232" s="10"/>
      <c r="M232" s="10"/>
      <c r="N232" s="10"/>
      <c r="O232" s="10"/>
      <c r="P232" s="10"/>
      <c r="Q232" s="10"/>
      <c r="R232" s="10"/>
      <c r="S232" s="10" t="s">
        <v>1321</v>
      </c>
      <c r="T232" s="10" t="s">
        <v>1322</v>
      </c>
      <c r="U232" s="10"/>
      <c r="V232" s="10" t="s">
        <v>412</v>
      </c>
      <c r="W232" s="10"/>
      <c r="X232" s="10" t="s">
        <v>412</v>
      </c>
      <c r="Y232" s="10" t="s">
        <v>412</v>
      </c>
      <c r="Z232" s="10" t="s">
        <v>1323</v>
      </c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 t="s">
        <v>1324</v>
      </c>
      <c r="B233" s="10" t="s">
        <v>1269</v>
      </c>
      <c r="C233" s="15" t="s">
        <v>29</v>
      </c>
      <c r="D233" s="12" t="s">
        <v>1325</v>
      </c>
      <c r="E233" s="16" t="s">
        <v>1326</v>
      </c>
      <c r="F233" s="10" t="s">
        <v>1327</v>
      </c>
      <c r="G233" s="10" t="s">
        <v>1328</v>
      </c>
      <c r="H233" s="10" t="s">
        <v>1329</v>
      </c>
      <c r="I233" s="10"/>
      <c r="J233" s="11" t="s">
        <v>34</v>
      </c>
      <c r="K233" s="10"/>
      <c r="L233" s="10">
        <v>50.0</v>
      </c>
      <c r="M233" s="10"/>
      <c r="N233" s="10"/>
      <c r="O233" s="10" t="s">
        <v>412</v>
      </c>
      <c r="P233" s="10" t="s">
        <v>412</v>
      </c>
      <c r="Q233" s="10" t="s">
        <v>412</v>
      </c>
      <c r="R233" s="10"/>
      <c r="S233" s="10"/>
      <c r="T233" s="10"/>
      <c r="U233" s="10"/>
      <c r="V233" s="10"/>
      <c r="W233" s="10"/>
      <c r="X233" s="10" t="s">
        <v>412</v>
      </c>
      <c r="Y233" s="10" t="s">
        <v>412</v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 t="s">
        <v>1330</v>
      </c>
      <c r="B234" s="10" t="s">
        <v>1269</v>
      </c>
      <c r="C234" s="15" t="s">
        <v>29</v>
      </c>
      <c r="D234" s="12" t="s">
        <v>1331</v>
      </c>
      <c r="E234" s="16" t="s">
        <v>1332</v>
      </c>
      <c r="F234" s="10" t="s">
        <v>1333</v>
      </c>
      <c r="G234" s="10" t="s">
        <v>1334</v>
      </c>
      <c r="H234" s="10" t="s">
        <v>1335</v>
      </c>
      <c r="I234" s="10"/>
      <c r="J234" s="11" t="s">
        <v>34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 t="s">
        <v>412</v>
      </c>
      <c r="Y234" s="10" t="s">
        <v>412</v>
      </c>
      <c r="Z234" s="10" t="s">
        <v>1336</v>
      </c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 t="s">
        <v>1337</v>
      </c>
      <c r="B235" s="10" t="s">
        <v>1269</v>
      </c>
      <c r="C235" s="15" t="s">
        <v>29</v>
      </c>
      <c r="D235" s="12" t="s">
        <v>1338</v>
      </c>
      <c r="E235" s="16" t="s">
        <v>1339</v>
      </c>
      <c r="F235" s="10" t="s">
        <v>1340</v>
      </c>
      <c r="G235" s="10" t="s">
        <v>1341</v>
      </c>
      <c r="H235" s="10" t="s">
        <v>1342</v>
      </c>
      <c r="I235" s="10"/>
      <c r="J235" s="11" t="s">
        <v>34</v>
      </c>
      <c r="K235" s="10"/>
      <c r="L235" s="10" t="s">
        <v>1343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 t="s">
        <v>412</v>
      </c>
      <c r="Y235" s="10" t="s">
        <v>412</v>
      </c>
      <c r="Z235" s="10" t="s">
        <v>1344</v>
      </c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 t="s">
        <v>1345</v>
      </c>
      <c r="B236" s="10" t="s">
        <v>1269</v>
      </c>
      <c r="C236" s="10" t="s">
        <v>332</v>
      </c>
      <c r="D236" s="12" t="s">
        <v>1338</v>
      </c>
      <c r="E236" s="16" t="s">
        <v>1339</v>
      </c>
      <c r="F236" s="10" t="s">
        <v>1340</v>
      </c>
      <c r="G236" s="10" t="s">
        <v>1341</v>
      </c>
      <c r="H236" s="10" t="s">
        <v>1342</v>
      </c>
      <c r="I236" s="10"/>
      <c r="J236" s="11" t="s">
        <v>38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 t="s">
        <v>1346</v>
      </c>
      <c r="Y236" s="10" t="s">
        <v>412</v>
      </c>
      <c r="Z236" s="23" t="s">
        <v>1347</v>
      </c>
      <c r="AA236" s="23"/>
      <c r="AB236" s="23"/>
      <c r="AC236" s="23"/>
      <c r="AD236" s="23"/>
      <c r="AE236" s="23"/>
      <c r="AF236" s="23"/>
      <c r="AG236" s="23"/>
      <c r="AH236" s="23"/>
      <c r="AI236" s="23"/>
    </row>
    <row r="237">
      <c r="A237" s="10" t="s">
        <v>1348</v>
      </c>
      <c r="B237" s="10" t="s">
        <v>1269</v>
      </c>
      <c r="C237" s="15" t="s">
        <v>29</v>
      </c>
      <c r="D237" s="12" t="s">
        <v>1349</v>
      </c>
      <c r="E237" s="16" t="s">
        <v>1350</v>
      </c>
      <c r="F237" s="10" t="s">
        <v>1351</v>
      </c>
      <c r="G237" s="10" t="s">
        <v>1352</v>
      </c>
      <c r="H237" s="10" t="s">
        <v>1353</v>
      </c>
      <c r="I237" s="10"/>
      <c r="J237" s="11" t="s">
        <v>34</v>
      </c>
      <c r="K237" s="10"/>
      <c r="L237" s="10">
        <v>180.0</v>
      </c>
      <c r="M237" s="10" t="s">
        <v>1354</v>
      </c>
      <c r="N237" s="10"/>
      <c r="O237" s="11" t="s">
        <v>37</v>
      </c>
      <c r="P237" s="11" t="s">
        <v>37</v>
      </c>
      <c r="Q237" s="11" t="s">
        <v>37</v>
      </c>
      <c r="R237" s="10"/>
      <c r="S237" s="10"/>
      <c r="T237" s="10"/>
      <c r="U237" s="10"/>
      <c r="V237" s="10" t="s">
        <v>412</v>
      </c>
      <c r="W237" s="10"/>
      <c r="X237" s="10" t="s">
        <v>1355</v>
      </c>
      <c r="Y237" s="10" t="s">
        <v>412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 t="s">
        <v>1348</v>
      </c>
      <c r="B238" s="10" t="s">
        <v>1269</v>
      </c>
      <c r="C238" s="15" t="s">
        <v>29</v>
      </c>
      <c r="D238" s="12" t="s">
        <v>1349</v>
      </c>
      <c r="E238" s="16" t="s">
        <v>1350</v>
      </c>
      <c r="F238" s="10" t="s">
        <v>1351</v>
      </c>
      <c r="G238" s="10" t="s">
        <v>1352</v>
      </c>
      <c r="H238" s="10" t="s">
        <v>1353</v>
      </c>
      <c r="I238" s="10"/>
      <c r="J238" s="11" t="s">
        <v>34</v>
      </c>
      <c r="K238" s="10"/>
      <c r="L238" s="10">
        <v>30.0</v>
      </c>
      <c r="M238" s="10"/>
      <c r="N238" s="10"/>
      <c r="O238" s="11" t="s">
        <v>37</v>
      </c>
      <c r="P238" s="11" t="s">
        <v>37</v>
      </c>
      <c r="Q238" s="11" t="s">
        <v>37</v>
      </c>
      <c r="R238" s="10"/>
      <c r="S238" s="10"/>
      <c r="T238" s="10"/>
      <c r="U238" s="10"/>
      <c r="V238" s="10" t="s">
        <v>412</v>
      </c>
      <c r="W238" s="10"/>
      <c r="X238" s="10" t="s">
        <v>1356</v>
      </c>
      <c r="Y238" s="10" t="s">
        <v>412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 t="s">
        <v>1357</v>
      </c>
      <c r="B239" s="10" t="s">
        <v>1269</v>
      </c>
      <c r="C239" s="15" t="s">
        <v>29</v>
      </c>
      <c r="D239" s="12" t="s">
        <v>1358</v>
      </c>
      <c r="E239" s="16" t="s">
        <v>1359</v>
      </c>
      <c r="F239" s="10" t="s">
        <v>1360</v>
      </c>
      <c r="G239" s="10" t="s">
        <v>1361</v>
      </c>
      <c r="H239" s="10" t="s">
        <v>1362</v>
      </c>
      <c r="I239" s="10"/>
      <c r="J239" s="11" t="s">
        <v>34</v>
      </c>
      <c r="K239" s="11" t="s">
        <v>35</v>
      </c>
      <c r="L239" s="10" t="s">
        <v>685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 t="s">
        <v>412</v>
      </c>
      <c r="W239" s="10"/>
      <c r="X239" s="10" t="s">
        <v>412</v>
      </c>
      <c r="Y239" s="10" t="s">
        <v>412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 t="s">
        <v>1363</v>
      </c>
      <c r="B240" s="10" t="s">
        <v>1269</v>
      </c>
      <c r="C240" s="15" t="s">
        <v>29</v>
      </c>
      <c r="D240" s="12" t="s">
        <v>1364</v>
      </c>
      <c r="E240" s="16" t="s">
        <v>1365</v>
      </c>
      <c r="F240" s="10" t="s">
        <v>1366</v>
      </c>
      <c r="G240" s="10" t="s">
        <v>1367</v>
      </c>
      <c r="H240" s="10" t="s">
        <v>1368</v>
      </c>
      <c r="I240" s="10"/>
      <c r="J240" s="10"/>
      <c r="K240" s="11" t="s">
        <v>35</v>
      </c>
      <c r="L240" s="10">
        <v>150.0</v>
      </c>
      <c r="M240" s="10"/>
      <c r="N240" s="10"/>
      <c r="O240" s="11" t="s">
        <v>74</v>
      </c>
      <c r="P240" s="11" t="s">
        <v>74</v>
      </c>
      <c r="Q240" s="11" t="s">
        <v>74</v>
      </c>
      <c r="R240" s="10"/>
      <c r="S240" s="10"/>
      <c r="T240" s="10"/>
      <c r="U240" s="10"/>
      <c r="V240" s="10"/>
      <c r="W240" s="10"/>
      <c r="X240" s="10" t="s">
        <v>412</v>
      </c>
      <c r="Y240" s="10" t="s">
        <v>412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 t="s">
        <v>1369</v>
      </c>
      <c r="B241" s="10" t="s">
        <v>1269</v>
      </c>
      <c r="C241" s="15" t="s">
        <v>112</v>
      </c>
      <c r="D241" s="12" t="s">
        <v>1370</v>
      </c>
      <c r="E241" s="16" t="s">
        <v>1371</v>
      </c>
      <c r="F241" s="10" t="s">
        <v>1372</v>
      </c>
      <c r="G241" s="10" t="s">
        <v>1373</v>
      </c>
      <c r="H241" s="10" t="s">
        <v>1374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 t="s">
        <v>1375</v>
      </c>
      <c r="X241" s="10" t="s">
        <v>412</v>
      </c>
      <c r="Y241" s="10" t="s">
        <v>412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 t="s">
        <v>1376</v>
      </c>
      <c r="B242" s="10" t="s">
        <v>1269</v>
      </c>
      <c r="C242" s="15" t="s">
        <v>112</v>
      </c>
      <c r="D242" s="12" t="s">
        <v>1377</v>
      </c>
      <c r="E242" s="16" t="s">
        <v>1378</v>
      </c>
      <c r="F242" s="10" t="s">
        <v>1379</v>
      </c>
      <c r="G242" s="10" t="s">
        <v>1380</v>
      </c>
      <c r="H242" s="10" t="s">
        <v>1381</v>
      </c>
      <c r="I242" s="10"/>
      <c r="J242" s="11" t="s">
        <v>34</v>
      </c>
      <c r="K242" s="10"/>
      <c r="L242" s="10"/>
      <c r="M242" s="10"/>
      <c r="N242" s="10"/>
      <c r="O242" s="11" t="s">
        <v>37</v>
      </c>
      <c r="P242" s="10"/>
      <c r="Q242" s="11" t="s">
        <v>37</v>
      </c>
      <c r="R242" s="10"/>
      <c r="S242" s="10"/>
      <c r="T242" s="10"/>
      <c r="U242" s="10"/>
      <c r="V242" s="10"/>
      <c r="W242" s="10" t="s">
        <v>1375</v>
      </c>
      <c r="X242" s="10" t="s">
        <v>412</v>
      </c>
      <c r="Y242" s="10" t="s">
        <v>412</v>
      </c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 t="s">
        <v>1382</v>
      </c>
      <c r="B243" s="10" t="s">
        <v>1269</v>
      </c>
      <c r="C243" s="15" t="s">
        <v>112</v>
      </c>
      <c r="D243" s="12" t="s">
        <v>1383</v>
      </c>
      <c r="E243" s="16" t="s">
        <v>1384</v>
      </c>
      <c r="F243" s="10" t="s">
        <v>1385</v>
      </c>
      <c r="G243" s="10" t="s">
        <v>1386</v>
      </c>
      <c r="H243" s="10" t="s">
        <v>1387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 t="s">
        <v>1375</v>
      </c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 t="s">
        <v>1388</v>
      </c>
      <c r="B244" s="10" t="s">
        <v>1269</v>
      </c>
      <c r="C244" s="15" t="s">
        <v>112</v>
      </c>
      <c r="D244" s="12" t="s">
        <v>1389</v>
      </c>
      <c r="E244" s="16" t="s">
        <v>1390</v>
      </c>
      <c r="F244" s="10" t="s">
        <v>1391</v>
      </c>
      <c r="G244" s="10" t="s">
        <v>1392</v>
      </c>
      <c r="H244" s="10" t="s">
        <v>1393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 t="s">
        <v>1394</v>
      </c>
      <c r="B245" s="10" t="s">
        <v>1269</v>
      </c>
      <c r="C245" s="15" t="s">
        <v>112</v>
      </c>
      <c r="D245" s="12" t="s">
        <v>1395</v>
      </c>
      <c r="E245" s="16" t="s">
        <v>1396</v>
      </c>
      <c r="F245" s="10" t="s">
        <v>1397</v>
      </c>
      <c r="G245" s="10" t="s">
        <v>1398</v>
      </c>
      <c r="H245" s="10" t="s">
        <v>1399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 t="s">
        <v>1400</v>
      </c>
      <c r="B246" s="10" t="s">
        <v>1269</v>
      </c>
      <c r="C246" s="15" t="s">
        <v>112</v>
      </c>
      <c r="D246" s="12" t="s">
        <v>1401</v>
      </c>
      <c r="E246" s="16" t="s">
        <v>1402</v>
      </c>
      <c r="F246" s="10" t="s">
        <v>1403</v>
      </c>
      <c r="G246" s="10" t="s">
        <v>1404</v>
      </c>
      <c r="H246" s="10" t="s">
        <v>1405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 t="s">
        <v>1406</v>
      </c>
      <c r="B247" s="10" t="s">
        <v>1269</v>
      </c>
      <c r="C247" s="15" t="s">
        <v>112</v>
      </c>
      <c r="D247" s="12" t="s">
        <v>1407</v>
      </c>
      <c r="E247" s="16" t="s">
        <v>1408</v>
      </c>
      <c r="F247" s="10" t="s">
        <v>1409</v>
      </c>
      <c r="G247" s="10" t="s">
        <v>1410</v>
      </c>
      <c r="H247" s="10" t="s">
        <v>1411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 t="s">
        <v>1412</v>
      </c>
      <c r="B248" s="10" t="s">
        <v>1269</v>
      </c>
      <c r="C248" s="15" t="s">
        <v>112</v>
      </c>
      <c r="D248" s="12" t="s">
        <v>1413</v>
      </c>
      <c r="E248" s="16" t="s">
        <v>1414</v>
      </c>
      <c r="F248" s="10" t="s">
        <v>1415</v>
      </c>
      <c r="G248" s="10" t="s">
        <v>1416</v>
      </c>
      <c r="H248" s="10" t="s">
        <v>1417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 t="s">
        <v>1418</v>
      </c>
      <c r="B249" s="10" t="s">
        <v>1269</v>
      </c>
      <c r="C249" s="15" t="s">
        <v>112</v>
      </c>
      <c r="D249" s="12" t="s">
        <v>1419</v>
      </c>
      <c r="E249" s="16" t="s">
        <v>1420</v>
      </c>
      <c r="F249" s="10" t="s">
        <v>1421</v>
      </c>
      <c r="G249" s="10" t="s">
        <v>1422</v>
      </c>
      <c r="H249" s="10" t="s">
        <v>1423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 t="s">
        <v>1375</v>
      </c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 t="s">
        <v>1424</v>
      </c>
      <c r="B250" s="10" t="s">
        <v>1269</v>
      </c>
      <c r="C250" s="15" t="s">
        <v>112</v>
      </c>
      <c r="D250" s="12" t="s">
        <v>1425</v>
      </c>
      <c r="E250" s="16" t="s">
        <v>1332</v>
      </c>
      <c r="F250" s="10" t="s">
        <v>1426</v>
      </c>
      <c r="G250" s="10" t="s">
        <v>1334</v>
      </c>
      <c r="H250" s="10" t="s">
        <v>1427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 t="s">
        <v>1428</v>
      </c>
      <c r="B251" s="10" t="s">
        <v>1269</v>
      </c>
      <c r="C251" s="15" t="s">
        <v>112</v>
      </c>
      <c r="D251" s="12" t="s">
        <v>1429</v>
      </c>
      <c r="E251" s="16" t="s">
        <v>1430</v>
      </c>
      <c r="F251" s="10" t="s">
        <v>1431</v>
      </c>
      <c r="G251" s="10" t="s">
        <v>1432</v>
      </c>
      <c r="H251" s="10" t="s">
        <v>1433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 t="s">
        <v>1434</v>
      </c>
      <c r="B252" s="10" t="s">
        <v>1269</v>
      </c>
      <c r="C252" s="15" t="s">
        <v>112</v>
      </c>
      <c r="D252" s="12" t="s">
        <v>1435</v>
      </c>
      <c r="E252" s="16" t="s">
        <v>1436</v>
      </c>
      <c r="F252" s="10" t="s">
        <v>1437</v>
      </c>
      <c r="G252" s="10" t="s">
        <v>1438</v>
      </c>
      <c r="H252" s="10" t="s">
        <v>1439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 t="s">
        <v>1375</v>
      </c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 t="s">
        <v>1440</v>
      </c>
      <c r="B253" s="10" t="s">
        <v>1269</v>
      </c>
      <c r="C253" s="15" t="s">
        <v>112</v>
      </c>
      <c r="D253" s="12" t="s">
        <v>1441</v>
      </c>
      <c r="E253" s="16" t="s">
        <v>1436</v>
      </c>
      <c r="F253" s="10" t="s">
        <v>1442</v>
      </c>
      <c r="G253" s="10" t="s">
        <v>1432</v>
      </c>
      <c r="H253" s="10" t="s">
        <v>1443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 t="s">
        <v>1375</v>
      </c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 t="s">
        <v>1444</v>
      </c>
      <c r="B254" s="10" t="s">
        <v>1269</v>
      </c>
      <c r="C254" s="11" t="s">
        <v>388</v>
      </c>
      <c r="D254" s="12" t="s">
        <v>1445</v>
      </c>
      <c r="E254" s="16">
        <v>5.3058873E7</v>
      </c>
      <c r="F254" s="10" t="s">
        <v>1446</v>
      </c>
      <c r="G254" s="10"/>
      <c r="H254" s="10" t="s">
        <v>1447</v>
      </c>
      <c r="I254" s="10"/>
      <c r="J254" s="11" t="s">
        <v>34</v>
      </c>
      <c r="K254" s="10"/>
      <c r="L254" s="10"/>
      <c r="M254" s="10"/>
      <c r="N254" s="10"/>
      <c r="O254" s="10" t="s">
        <v>412</v>
      </c>
      <c r="P254" s="10" t="s">
        <v>412</v>
      </c>
      <c r="Q254" s="10"/>
      <c r="R254" s="10"/>
      <c r="S254" s="10"/>
      <c r="T254" s="10"/>
      <c r="U254" s="10"/>
      <c r="V254" s="10"/>
      <c r="W254" s="10"/>
      <c r="X254" s="10" t="s">
        <v>412</v>
      </c>
      <c r="Y254" s="10" t="s">
        <v>412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 t="s">
        <v>1448</v>
      </c>
      <c r="B255" s="10" t="s">
        <v>1269</v>
      </c>
      <c r="C255" s="10" t="s">
        <v>250</v>
      </c>
      <c r="D255" s="12" t="s">
        <v>1449</v>
      </c>
      <c r="E255" s="16">
        <v>7309880.0</v>
      </c>
      <c r="F255" s="10" t="s">
        <v>1450</v>
      </c>
      <c r="G255" s="10"/>
      <c r="H255" s="10" t="s">
        <v>1451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 t="s">
        <v>1452</v>
      </c>
      <c r="B256" s="10" t="s">
        <v>1269</v>
      </c>
      <c r="C256" s="10" t="s">
        <v>250</v>
      </c>
      <c r="D256" s="12" t="s">
        <v>1453</v>
      </c>
      <c r="E256" s="16"/>
      <c r="F256" s="10"/>
      <c r="G256" s="10"/>
      <c r="H256" s="10" t="s">
        <v>1454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 t="s">
        <v>412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 t="s">
        <v>1455</v>
      </c>
      <c r="B257" s="10" t="s">
        <v>1269</v>
      </c>
      <c r="C257" s="10" t="s">
        <v>250</v>
      </c>
      <c r="D257" s="12" t="s">
        <v>1456</v>
      </c>
      <c r="E257" s="16" t="s">
        <v>1457</v>
      </c>
      <c r="F257" s="10" t="s">
        <v>1458</v>
      </c>
      <c r="G257" s="10"/>
      <c r="H257" s="10" t="s">
        <v>1459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 t="s">
        <v>412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 t="s">
        <v>1460</v>
      </c>
      <c r="B258" s="10" t="s">
        <v>1269</v>
      </c>
      <c r="C258" s="10" t="s">
        <v>250</v>
      </c>
      <c r="D258" s="12" t="s">
        <v>1461</v>
      </c>
      <c r="E258" s="16">
        <v>5229537.0</v>
      </c>
      <c r="F258" s="10" t="s">
        <v>1446</v>
      </c>
      <c r="G258" s="10"/>
      <c r="H258" s="10" t="s">
        <v>1462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412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 t="s">
        <v>1463</v>
      </c>
      <c r="B259" s="10" t="s">
        <v>1269</v>
      </c>
      <c r="C259" s="10" t="s">
        <v>250</v>
      </c>
      <c r="D259" s="12" t="s">
        <v>1464</v>
      </c>
      <c r="E259" s="16">
        <v>7679511.0</v>
      </c>
      <c r="F259" s="10"/>
      <c r="G259" s="10"/>
      <c r="H259" s="10" t="s">
        <v>1465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 t="s">
        <v>412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 t="s">
        <v>1466</v>
      </c>
      <c r="B260" s="10" t="s">
        <v>1269</v>
      </c>
      <c r="C260" s="10" t="s">
        <v>250</v>
      </c>
      <c r="D260" s="12" t="s">
        <v>1467</v>
      </c>
      <c r="E260" s="16"/>
      <c r="F260" s="10"/>
      <c r="G260" s="10"/>
      <c r="H260" s="10" t="s">
        <v>1468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s">
        <v>412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 t="s">
        <v>1469</v>
      </c>
      <c r="B261" s="10" t="s">
        <v>1269</v>
      </c>
      <c r="C261" s="10" t="s">
        <v>250</v>
      </c>
      <c r="D261" s="12" t="s">
        <v>1470</v>
      </c>
      <c r="E261" s="16">
        <v>7309880.0</v>
      </c>
      <c r="F261" s="10" t="s">
        <v>1450</v>
      </c>
      <c r="G261" s="10"/>
      <c r="H261" s="10" t="s">
        <v>1471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 t="s">
        <v>412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 t="s">
        <v>1472</v>
      </c>
      <c r="B262" s="10" t="s">
        <v>1269</v>
      </c>
      <c r="C262" s="10" t="s">
        <v>262</v>
      </c>
      <c r="D262" s="12" t="s">
        <v>1473</v>
      </c>
      <c r="E262" s="16" t="s">
        <v>1365</v>
      </c>
      <c r="F262" s="10" t="s">
        <v>1474</v>
      </c>
      <c r="G262" s="10" t="s">
        <v>1475</v>
      </c>
      <c r="H262" s="10" t="s">
        <v>1476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 t="s">
        <v>1477</v>
      </c>
      <c r="B263" s="10" t="s">
        <v>1269</v>
      </c>
      <c r="C263" s="10" t="s">
        <v>262</v>
      </c>
      <c r="D263" s="12" t="s">
        <v>1478</v>
      </c>
      <c r="E263" s="16" t="s">
        <v>1479</v>
      </c>
      <c r="F263" s="10" t="s">
        <v>1480</v>
      </c>
      <c r="G263" s="10" t="s">
        <v>1481</v>
      </c>
      <c r="H263" s="10" t="s">
        <v>1482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 t="s">
        <v>1483</v>
      </c>
      <c r="B264" s="10" t="s">
        <v>1269</v>
      </c>
      <c r="C264" s="10" t="s">
        <v>262</v>
      </c>
      <c r="D264" s="12" t="s">
        <v>1484</v>
      </c>
      <c r="E264" s="16"/>
      <c r="F264" s="10" t="s">
        <v>1485</v>
      </c>
      <c r="G264" s="10" t="s">
        <v>1367</v>
      </c>
      <c r="H264" s="10" t="s">
        <v>1486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 t="s">
        <v>1487</v>
      </c>
      <c r="B265" s="10" t="s">
        <v>1269</v>
      </c>
      <c r="C265" s="10" t="s">
        <v>262</v>
      </c>
      <c r="D265" s="12" t="s">
        <v>1488</v>
      </c>
      <c r="E265" s="16"/>
      <c r="F265" s="10" t="s">
        <v>1489</v>
      </c>
      <c r="G265" s="10"/>
      <c r="H265" s="10" t="s">
        <v>1490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 t="s">
        <v>1491</v>
      </c>
      <c r="B266" s="10" t="s">
        <v>1269</v>
      </c>
      <c r="C266" s="10" t="s">
        <v>262</v>
      </c>
      <c r="D266" s="12" t="s">
        <v>1492</v>
      </c>
      <c r="E266" s="16"/>
      <c r="F266" s="10" t="s">
        <v>1493</v>
      </c>
      <c r="G266" s="10" t="s">
        <v>1494</v>
      </c>
      <c r="H266" s="10" t="s">
        <v>1495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 t="s">
        <v>1496</v>
      </c>
      <c r="B267" s="10" t="s">
        <v>1269</v>
      </c>
      <c r="C267" s="10" t="s">
        <v>262</v>
      </c>
      <c r="D267" s="12" t="s">
        <v>1497</v>
      </c>
      <c r="E267" s="16"/>
      <c r="F267" s="10" t="s">
        <v>1498</v>
      </c>
      <c r="G267" s="10" t="s">
        <v>1499</v>
      </c>
      <c r="H267" s="10" t="s">
        <v>1500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 t="s">
        <v>1501</v>
      </c>
      <c r="B268" s="10" t="s">
        <v>1269</v>
      </c>
      <c r="C268" s="10" t="s">
        <v>262</v>
      </c>
      <c r="D268" s="12" t="s">
        <v>1502</v>
      </c>
      <c r="E268" s="16" t="s">
        <v>1503</v>
      </c>
      <c r="F268" s="10" t="s">
        <v>1504</v>
      </c>
      <c r="G268" s="10" t="s">
        <v>1505</v>
      </c>
      <c r="H268" s="10" t="s">
        <v>1506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 t="s">
        <v>1166</v>
      </c>
      <c r="B269" s="10" t="s">
        <v>1269</v>
      </c>
      <c r="C269" s="10" t="s">
        <v>262</v>
      </c>
      <c r="D269" s="12" t="s">
        <v>1507</v>
      </c>
      <c r="E269" s="16" t="s">
        <v>1508</v>
      </c>
      <c r="F269" s="10" t="s">
        <v>1169</v>
      </c>
      <c r="G269" s="10" t="s">
        <v>1509</v>
      </c>
      <c r="H269" s="10" t="s">
        <v>1510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 t="s">
        <v>1511</v>
      </c>
      <c r="B270" s="10" t="s">
        <v>1269</v>
      </c>
      <c r="C270" s="10" t="s">
        <v>90</v>
      </c>
      <c r="D270" s="12" t="s">
        <v>1512</v>
      </c>
      <c r="E270" s="16" t="s">
        <v>1513</v>
      </c>
      <c r="F270" s="10" t="s">
        <v>1514</v>
      </c>
      <c r="G270" s="10" t="s">
        <v>1515</v>
      </c>
      <c r="H270" s="10" t="s">
        <v>1516</v>
      </c>
      <c r="I270" s="10"/>
      <c r="J270" s="11" t="s">
        <v>34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 t="s">
        <v>412</v>
      </c>
      <c r="Y270" s="10" t="s">
        <v>412</v>
      </c>
      <c r="Z270" s="10" t="s">
        <v>412</v>
      </c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 t="s">
        <v>1517</v>
      </c>
      <c r="B271" s="10" t="s">
        <v>1269</v>
      </c>
      <c r="C271" s="10" t="s">
        <v>90</v>
      </c>
      <c r="D271" s="12" t="s">
        <v>1518</v>
      </c>
      <c r="E271" s="16" t="s">
        <v>1519</v>
      </c>
      <c r="F271" s="10" t="s">
        <v>1520</v>
      </c>
      <c r="G271" s="10"/>
      <c r="H271" s="10" t="s">
        <v>1521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 t="s">
        <v>1522</v>
      </c>
      <c r="B272" s="10" t="s">
        <v>1269</v>
      </c>
      <c r="C272" s="10" t="s">
        <v>90</v>
      </c>
      <c r="D272" s="12" t="s">
        <v>1523</v>
      </c>
      <c r="E272" s="16">
        <v>5.6619805E7</v>
      </c>
      <c r="F272" s="10" t="s">
        <v>1524</v>
      </c>
      <c r="G272" s="10"/>
      <c r="H272" s="10" t="s">
        <v>1525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 t="s">
        <v>1526</v>
      </c>
      <c r="B273" s="10" t="s">
        <v>1269</v>
      </c>
      <c r="C273" s="11" t="s">
        <v>29</v>
      </c>
      <c r="D273" s="12" t="s">
        <v>1527</v>
      </c>
      <c r="E273" s="16" t="s">
        <v>1528</v>
      </c>
      <c r="F273" s="10"/>
      <c r="G273" s="10"/>
      <c r="H273" s="10" t="s">
        <v>1529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 t="s">
        <v>1530</v>
      </c>
      <c r="B274" s="10" t="s">
        <v>1269</v>
      </c>
      <c r="C274" s="15" t="s">
        <v>211</v>
      </c>
      <c r="D274" s="12" t="s">
        <v>1531</v>
      </c>
      <c r="E274" s="16" t="s">
        <v>1532</v>
      </c>
      <c r="F274" s="10" t="s">
        <v>1533</v>
      </c>
      <c r="G274" s="10" t="s">
        <v>1534</v>
      </c>
      <c r="H274" s="10" t="s">
        <v>1535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 t="s">
        <v>1536</v>
      </c>
      <c r="B275" s="10" t="s">
        <v>1269</v>
      </c>
      <c r="C275" s="15" t="s">
        <v>211</v>
      </c>
      <c r="D275" s="12" t="s">
        <v>1537</v>
      </c>
      <c r="E275" s="16" t="s">
        <v>1538</v>
      </c>
      <c r="F275" s="10" t="s">
        <v>1539</v>
      </c>
      <c r="G275" s="10" t="s">
        <v>1540</v>
      </c>
      <c r="H275" s="10" t="s">
        <v>1541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 t="s">
        <v>1542</v>
      </c>
      <c r="B276" s="10" t="s">
        <v>1269</v>
      </c>
      <c r="C276" s="15" t="s">
        <v>211</v>
      </c>
      <c r="D276" s="12" t="s">
        <v>1543</v>
      </c>
      <c r="E276" s="16" t="s">
        <v>1544</v>
      </c>
      <c r="F276" s="10" t="s">
        <v>1545</v>
      </c>
      <c r="G276" s="10" t="s">
        <v>1546</v>
      </c>
      <c r="H276" s="10" t="s">
        <v>1547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 t="s">
        <v>1548</v>
      </c>
      <c r="B277" s="10" t="s">
        <v>1269</v>
      </c>
      <c r="C277" s="15" t="s">
        <v>211</v>
      </c>
      <c r="D277" s="12" t="s">
        <v>1549</v>
      </c>
      <c r="E277" s="16" t="s">
        <v>1550</v>
      </c>
      <c r="F277" s="10" t="s">
        <v>1551</v>
      </c>
      <c r="G277" s="10" t="s">
        <v>1534</v>
      </c>
      <c r="H277" s="10" t="s">
        <v>1552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 t="s">
        <v>1553</v>
      </c>
      <c r="B278" s="10" t="s">
        <v>1269</v>
      </c>
      <c r="C278" s="15" t="s">
        <v>211</v>
      </c>
      <c r="D278" s="12" t="s">
        <v>1554</v>
      </c>
      <c r="E278" s="16" t="s">
        <v>1555</v>
      </c>
      <c r="F278" s="10" t="s">
        <v>1556</v>
      </c>
      <c r="G278" s="10" t="s">
        <v>1557</v>
      </c>
      <c r="H278" s="10" t="s">
        <v>1558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 t="s">
        <v>1559</v>
      </c>
      <c r="B279" s="10" t="s">
        <v>1269</v>
      </c>
      <c r="C279" s="15" t="s">
        <v>211</v>
      </c>
      <c r="D279" s="12" t="s">
        <v>1560</v>
      </c>
      <c r="E279" s="16" t="s">
        <v>1561</v>
      </c>
      <c r="F279" s="10" t="s">
        <v>1562</v>
      </c>
      <c r="G279" s="10" t="s">
        <v>1563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 t="s">
        <v>1564</v>
      </c>
      <c r="B280" s="10" t="s">
        <v>1565</v>
      </c>
      <c r="C280" s="10" t="s">
        <v>90</v>
      </c>
      <c r="D280" s="12" t="s">
        <v>1566</v>
      </c>
      <c r="E280" s="16" t="s">
        <v>1567</v>
      </c>
      <c r="F280" s="10" t="s">
        <v>1568</v>
      </c>
      <c r="G280" s="10" t="s">
        <v>1569</v>
      </c>
      <c r="H280" s="10" t="s">
        <v>1570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 t="s">
        <v>1571</v>
      </c>
      <c r="B281" s="10" t="s">
        <v>1565</v>
      </c>
      <c r="C281" s="10" t="s">
        <v>90</v>
      </c>
      <c r="D281" s="12"/>
      <c r="E281" s="16" t="s">
        <v>1572</v>
      </c>
      <c r="F281" s="10" t="s">
        <v>1573</v>
      </c>
      <c r="G281" s="10" t="s">
        <v>1574</v>
      </c>
      <c r="H281" s="10" t="s">
        <v>1575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 t="s">
        <v>1576</v>
      </c>
      <c r="B282" s="10" t="s">
        <v>1565</v>
      </c>
      <c r="C282" s="10" t="s">
        <v>718</v>
      </c>
      <c r="D282" s="12" t="s">
        <v>1577</v>
      </c>
      <c r="E282" s="16" t="s">
        <v>1578</v>
      </c>
      <c r="F282" s="10" t="s">
        <v>1579</v>
      </c>
      <c r="G282" s="10" t="s">
        <v>1580</v>
      </c>
      <c r="H282" s="10" t="s">
        <v>1581</v>
      </c>
      <c r="I282" s="11">
        <v>300.0</v>
      </c>
      <c r="J282" s="10"/>
      <c r="K282" s="10"/>
      <c r="L282" s="10"/>
      <c r="M282" s="10" t="s">
        <v>1582</v>
      </c>
      <c r="N282" s="10"/>
      <c r="O282" s="11" t="s">
        <v>37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 t="s">
        <v>1583</v>
      </c>
      <c r="B283" s="10" t="s">
        <v>1565</v>
      </c>
      <c r="C283" s="11" t="s">
        <v>262</v>
      </c>
      <c r="D283" s="12" t="s">
        <v>1584</v>
      </c>
      <c r="E283" s="16" t="s">
        <v>1585</v>
      </c>
      <c r="F283" s="10" t="s">
        <v>1586</v>
      </c>
      <c r="G283" s="10" t="s">
        <v>1587</v>
      </c>
      <c r="H283" s="10" t="s">
        <v>1588</v>
      </c>
      <c r="I283" s="11" t="s">
        <v>611</v>
      </c>
      <c r="J283" s="11" t="s">
        <v>34</v>
      </c>
      <c r="K283" s="11" t="s">
        <v>35</v>
      </c>
      <c r="L283" s="11">
        <v>100.0</v>
      </c>
      <c r="M283" s="10"/>
      <c r="N283" s="10"/>
      <c r="O283" s="11" t="s">
        <v>37</v>
      </c>
      <c r="P283" s="11" t="s">
        <v>74</v>
      </c>
      <c r="Q283" s="11" t="s">
        <v>37</v>
      </c>
      <c r="R283" s="11" t="s">
        <v>1589</v>
      </c>
      <c r="S283" s="11" t="s">
        <v>34</v>
      </c>
      <c r="T283" s="11" t="s">
        <v>518</v>
      </c>
      <c r="U283" s="10"/>
      <c r="V283" s="11" t="s">
        <v>34</v>
      </c>
      <c r="W283" s="11" t="s">
        <v>34</v>
      </c>
      <c r="X283" s="11" t="s">
        <v>34</v>
      </c>
      <c r="Y283" s="11" t="s">
        <v>583</v>
      </c>
      <c r="Z283" s="11" t="s">
        <v>1590</v>
      </c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>
      <c r="A284" s="10" t="s">
        <v>1591</v>
      </c>
      <c r="B284" s="10" t="s">
        <v>1565</v>
      </c>
      <c r="C284" s="10" t="s">
        <v>262</v>
      </c>
      <c r="D284" s="12" t="s">
        <v>1592</v>
      </c>
      <c r="E284" s="16" t="s">
        <v>1593</v>
      </c>
      <c r="F284" s="10" t="s">
        <v>1594</v>
      </c>
      <c r="G284" s="10" t="s">
        <v>1595</v>
      </c>
      <c r="H284" s="10" t="s">
        <v>1596</v>
      </c>
      <c r="I284" s="10"/>
      <c r="J284" s="10"/>
      <c r="K284" s="10" t="s">
        <v>1282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 t="s">
        <v>1597</v>
      </c>
      <c r="B285" s="10" t="s">
        <v>1565</v>
      </c>
      <c r="C285" s="10" t="s">
        <v>262</v>
      </c>
      <c r="D285" s="12" t="s">
        <v>1598</v>
      </c>
      <c r="E285" s="16" t="s">
        <v>1599</v>
      </c>
      <c r="F285" s="10" t="s">
        <v>1600</v>
      </c>
      <c r="G285" s="10" t="s">
        <v>1601</v>
      </c>
      <c r="H285" s="10" t="s">
        <v>1602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 t="s">
        <v>1603</v>
      </c>
      <c r="B286" s="10" t="s">
        <v>1565</v>
      </c>
      <c r="C286" s="15" t="s">
        <v>112</v>
      </c>
      <c r="D286" s="12"/>
      <c r="E286" s="16" t="s">
        <v>1604</v>
      </c>
      <c r="F286" s="10" t="s">
        <v>1605</v>
      </c>
      <c r="G286" s="10" t="s">
        <v>1606</v>
      </c>
      <c r="H286" s="10" t="s">
        <v>1607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 t="s">
        <v>1608</v>
      </c>
      <c r="B287" s="10" t="s">
        <v>1565</v>
      </c>
      <c r="C287" s="15" t="s">
        <v>112</v>
      </c>
      <c r="D287" s="12"/>
      <c r="E287" s="16" t="s">
        <v>1609</v>
      </c>
      <c r="F287" s="10" t="s">
        <v>1610</v>
      </c>
      <c r="G287" s="10" t="s">
        <v>1611</v>
      </c>
      <c r="H287" s="10" t="s">
        <v>1612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 t="s">
        <v>1613</v>
      </c>
      <c r="B288" s="10" t="s">
        <v>1565</v>
      </c>
      <c r="C288" s="15" t="s">
        <v>112</v>
      </c>
      <c r="D288" s="12"/>
      <c r="E288" s="16" t="s">
        <v>1614</v>
      </c>
      <c r="F288" s="10" t="s">
        <v>1615</v>
      </c>
      <c r="G288" s="10" t="s">
        <v>1616</v>
      </c>
      <c r="H288" s="10" t="s">
        <v>1617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 t="s">
        <v>1618</v>
      </c>
      <c r="B289" s="10" t="s">
        <v>1565</v>
      </c>
      <c r="C289" s="15" t="s">
        <v>112</v>
      </c>
      <c r="D289" s="12" t="s">
        <v>1619</v>
      </c>
      <c r="E289" s="16" t="s">
        <v>1620</v>
      </c>
      <c r="F289" s="10" t="s">
        <v>1621</v>
      </c>
      <c r="G289" s="10" t="s">
        <v>1622</v>
      </c>
      <c r="H289" s="10" t="s">
        <v>1623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 t="s">
        <v>1624</v>
      </c>
      <c r="B290" s="10" t="s">
        <v>1565</v>
      </c>
      <c r="C290" s="15" t="s">
        <v>112</v>
      </c>
      <c r="D290" s="12"/>
      <c r="E290" s="16" t="s">
        <v>1625</v>
      </c>
      <c r="F290" s="10" t="s">
        <v>1626</v>
      </c>
      <c r="G290" s="10" t="s">
        <v>1627</v>
      </c>
      <c r="H290" s="10" t="s">
        <v>1628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 t="s">
        <v>1629</v>
      </c>
      <c r="B291" s="10" t="s">
        <v>1565</v>
      </c>
      <c r="C291" s="15" t="s">
        <v>112</v>
      </c>
      <c r="D291" s="12"/>
      <c r="E291" s="16" t="s">
        <v>1630</v>
      </c>
      <c r="F291" s="10" t="s">
        <v>1631</v>
      </c>
      <c r="G291" s="10" t="s">
        <v>1632</v>
      </c>
      <c r="H291" s="10" t="s">
        <v>1633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 t="s">
        <v>1634</v>
      </c>
      <c r="B292" s="10" t="s">
        <v>1565</v>
      </c>
      <c r="C292" s="15" t="s">
        <v>112</v>
      </c>
      <c r="D292" s="12"/>
      <c r="E292" s="16" t="s">
        <v>1635</v>
      </c>
      <c r="F292" s="10" t="s">
        <v>1636</v>
      </c>
      <c r="G292" s="10" t="s">
        <v>1637</v>
      </c>
      <c r="H292" s="10" t="s">
        <v>1638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 t="s">
        <v>1639</v>
      </c>
      <c r="B293" s="10" t="s">
        <v>1565</v>
      </c>
      <c r="C293" s="15" t="s">
        <v>112</v>
      </c>
      <c r="D293" s="12"/>
      <c r="E293" s="16" t="s">
        <v>1640</v>
      </c>
      <c r="F293" s="10" t="s">
        <v>1641</v>
      </c>
      <c r="G293" s="10" t="s">
        <v>1642</v>
      </c>
      <c r="H293" s="10" t="s">
        <v>1643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 t="s">
        <v>1644</v>
      </c>
      <c r="B294" s="10" t="s">
        <v>1565</v>
      </c>
      <c r="C294" s="24" t="s">
        <v>79</v>
      </c>
      <c r="D294" s="12" t="s">
        <v>1645</v>
      </c>
      <c r="E294" s="16" t="s">
        <v>1646</v>
      </c>
      <c r="F294" s="10" t="s">
        <v>1647</v>
      </c>
      <c r="G294" s="10" t="s">
        <v>1648</v>
      </c>
      <c r="H294" s="10" t="s">
        <v>1649</v>
      </c>
      <c r="I294" s="11">
        <v>90.0</v>
      </c>
      <c r="J294" s="11" t="s">
        <v>34</v>
      </c>
      <c r="K294" s="11" t="s">
        <v>35</v>
      </c>
      <c r="L294" s="10" t="s">
        <v>1650</v>
      </c>
      <c r="M294" s="10" t="s">
        <v>1651</v>
      </c>
      <c r="N294" s="10"/>
      <c r="O294" s="11" t="s">
        <v>37</v>
      </c>
      <c r="P294" s="10"/>
      <c r="Q294" s="10" t="s">
        <v>412</v>
      </c>
      <c r="R294" s="10"/>
      <c r="S294" s="10" t="s">
        <v>412</v>
      </c>
      <c r="T294" s="10" t="s">
        <v>1652</v>
      </c>
      <c r="U294" s="10"/>
      <c r="V294" s="10" t="s">
        <v>1653</v>
      </c>
      <c r="W294" s="10" t="s">
        <v>412</v>
      </c>
      <c r="X294" s="10" t="s">
        <v>412</v>
      </c>
      <c r="Y294" s="10" t="s">
        <v>1654</v>
      </c>
      <c r="Z294" s="10" t="s">
        <v>1653</v>
      </c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 t="s">
        <v>1655</v>
      </c>
      <c r="B295" s="10" t="s">
        <v>1565</v>
      </c>
      <c r="C295" s="11" t="s">
        <v>388</v>
      </c>
      <c r="D295" s="12" t="s">
        <v>1656</v>
      </c>
      <c r="E295" s="16" t="s">
        <v>1657</v>
      </c>
      <c r="F295" s="10" t="s">
        <v>1658</v>
      </c>
      <c r="G295" s="10" t="s">
        <v>1659</v>
      </c>
      <c r="H295" s="10" t="s">
        <v>1660</v>
      </c>
      <c r="I295" s="10"/>
      <c r="J295" s="11" t="s">
        <v>34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 t="s">
        <v>1661</v>
      </c>
      <c r="B296" s="10" t="s">
        <v>1565</v>
      </c>
      <c r="C296" s="10" t="s">
        <v>1662</v>
      </c>
      <c r="D296" s="12"/>
      <c r="E296" s="16">
        <v>7999500.0</v>
      </c>
      <c r="F296" s="10" t="s">
        <v>1663</v>
      </c>
      <c r="G296" s="10"/>
      <c r="H296" s="10" t="s">
        <v>1664</v>
      </c>
      <c r="I296" s="10"/>
      <c r="J296" s="11" t="s">
        <v>38</v>
      </c>
      <c r="K296" s="10"/>
      <c r="L296" s="10" t="s">
        <v>1665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 t="s">
        <v>1666</v>
      </c>
      <c r="X296" s="10"/>
      <c r="Y296" s="10" t="s">
        <v>1667</v>
      </c>
      <c r="Z296" s="23" t="s">
        <v>1668</v>
      </c>
      <c r="AA296" s="23"/>
      <c r="AB296" s="23"/>
      <c r="AC296" s="23"/>
      <c r="AD296" s="23"/>
      <c r="AE296" s="23"/>
      <c r="AF296" s="23"/>
      <c r="AG296" s="23"/>
      <c r="AH296" s="23"/>
      <c r="AI296" s="23"/>
    </row>
    <row r="297">
      <c r="A297" s="10" t="s">
        <v>1669</v>
      </c>
      <c r="B297" s="10" t="s">
        <v>1565</v>
      </c>
      <c r="C297" s="11" t="s">
        <v>29</v>
      </c>
      <c r="D297" s="12"/>
      <c r="E297" s="16">
        <v>5.8128219E7</v>
      </c>
      <c r="F297" s="10" t="s">
        <v>1670</v>
      </c>
      <c r="G297" s="10"/>
      <c r="H297" s="10" t="s">
        <v>1671</v>
      </c>
      <c r="I297" s="10"/>
      <c r="J297" s="11" t="s">
        <v>34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 t="s">
        <v>1666</v>
      </c>
      <c r="X297" s="10"/>
      <c r="Y297" s="10" t="s">
        <v>1672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 t="s">
        <v>1673</v>
      </c>
      <c r="B298" s="10" t="s">
        <v>1565</v>
      </c>
      <c r="C298" s="11" t="s">
        <v>388</v>
      </c>
      <c r="D298" s="12"/>
      <c r="E298" s="16">
        <v>7419139.0</v>
      </c>
      <c r="F298" s="10" t="s">
        <v>1674</v>
      </c>
      <c r="G298" s="10"/>
      <c r="H298" s="10" t="s">
        <v>1675</v>
      </c>
      <c r="I298" s="10"/>
      <c r="J298" s="11" t="s">
        <v>34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 t="s">
        <v>1676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 t="s">
        <v>1677</v>
      </c>
      <c r="B299" s="10" t="s">
        <v>1565</v>
      </c>
      <c r="C299" s="25" t="s">
        <v>1662</v>
      </c>
      <c r="D299" s="12"/>
      <c r="E299" s="16">
        <v>5249190.0</v>
      </c>
      <c r="F299" s="10" t="s">
        <v>1663</v>
      </c>
      <c r="G299" s="10"/>
      <c r="H299" s="10" t="s">
        <v>1678</v>
      </c>
      <c r="I299" s="10"/>
      <c r="J299" s="11" t="s">
        <v>38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23" t="s">
        <v>1679</v>
      </c>
      <c r="AA299" s="23"/>
      <c r="AB299" s="23"/>
      <c r="AC299" s="23"/>
      <c r="AD299" s="23"/>
      <c r="AE299" s="23"/>
      <c r="AF299" s="23"/>
      <c r="AG299" s="23"/>
      <c r="AH299" s="23"/>
      <c r="AI299" s="23"/>
    </row>
    <row r="300">
      <c r="A300" s="10" t="s">
        <v>1680</v>
      </c>
      <c r="B300" s="10" t="s">
        <v>1565</v>
      </c>
      <c r="C300" s="25" t="s">
        <v>1662</v>
      </c>
      <c r="D300" s="12"/>
      <c r="E300" s="16">
        <v>7999511.0</v>
      </c>
      <c r="F300" s="10" t="s">
        <v>1663</v>
      </c>
      <c r="G300" s="10"/>
      <c r="H300" s="10" t="s">
        <v>1681</v>
      </c>
      <c r="I300" s="10"/>
      <c r="J300" s="11" t="s">
        <v>38</v>
      </c>
      <c r="K300" s="10"/>
      <c r="L300" s="10" t="s">
        <v>1682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 t="s">
        <v>1683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 t="s">
        <v>1684</v>
      </c>
      <c r="B301" s="10" t="s">
        <v>1565</v>
      </c>
      <c r="C301" s="25" t="s">
        <v>1662</v>
      </c>
      <c r="D301" s="12"/>
      <c r="E301" s="16">
        <v>5249190.0</v>
      </c>
      <c r="F301" s="10" t="s">
        <v>1663</v>
      </c>
      <c r="G301" s="10"/>
      <c r="H301" s="10" t="s">
        <v>1685</v>
      </c>
      <c r="I301" s="10"/>
      <c r="J301" s="11" t="s">
        <v>34</v>
      </c>
      <c r="K301" s="11" t="s">
        <v>35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 t="s">
        <v>1686</v>
      </c>
      <c r="B302" s="10" t="s">
        <v>1565</v>
      </c>
      <c r="C302" s="11" t="s">
        <v>1662</v>
      </c>
      <c r="D302" s="12"/>
      <c r="E302" s="16">
        <v>7952287.0</v>
      </c>
      <c r="F302" s="10" t="s">
        <v>1687</v>
      </c>
      <c r="G302" s="10"/>
      <c r="H302" s="10" t="s">
        <v>1685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 t="s">
        <v>1688</v>
      </c>
      <c r="X302" s="10"/>
      <c r="Y302" s="10" t="s">
        <v>1676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 t="s">
        <v>1689</v>
      </c>
      <c r="B303" s="10" t="s">
        <v>1565</v>
      </c>
      <c r="C303" s="24" t="s">
        <v>388</v>
      </c>
      <c r="D303" s="12"/>
      <c r="E303" s="16">
        <v>7952287.0</v>
      </c>
      <c r="F303" s="10" t="s">
        <v>1687</v>
      </c>
      <c r="G303" s="10"/>
      <c r="H303" s="10" t="s">
        <v>1685</v>
      </c>
      <c r="I303" s="11">
        <v>300.0</v>
      </c>
      <c r="J303" s="11" t="s">
        <v>34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 t="s">
        <v>1688</v>
      </c>
      <c r="X303" s="11" t="s">
        <v>34</v>
      </c>
      <c r="Y303" s="10" t="s">
        <v>1676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 t="s">
        <v>1690</v>
      </c>
      <c r="B304" s="10" t="s">
        <v>1565</v>
      </c>
      <c r="C304" s="24" t="s">
        <v>388</v>
      </c>
      <c r="D304" s="12"/>
      <c r="E304" s="16"/>
      <c r="F304" s="10" t="s">
        <v>1691</v>
      </c>
      <c r="G304" s="10"/>
      <c r="H304" s="10" t="s">
        <v>1692</v>
      </c>
      <c r="I304" s="10"/>
      <c r="J304" s="11" t="s">
        <v>34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 t="s">
        <v>1667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 t="s">
        <v>1693</v>
      </c>
      <c r="B305" s="10" t="s">
        <v>1565</v>
      </c>
      <c r="C305" s="11" t="s">
        <v>1662</v>
      </c>
      <c r="D305" s="12"/>
      <c r="E305" s="16">
        <v>7999500.0</v>
      </c>
      <c r="F305" s="10" t="s">
        <v>1663</v>
      </c>
      <c r="G305" s="10"/>
      <c r="H305" s="10" t="s">
        <v>1694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 t="s">
        <v>1683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 t="s">
        <v>1695</v>
      </c>
      <c r="B306" s="10" t="s">
        <v>1565</v>
      </c>
      <c r="C306" s="11" t="s">
        <v>1662</v>
      </c>
      <c r="D306" s="12"/>
      <c r="E306" s="16">
        <v>5251225.0</v>
      </c>
      <c r="F306" s="10" t="s">
        <v>1696</v>
      </c>
      <c r="G306" s="10"/>
      <c r="H306" s="10" t="s">
        <v>1697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 t="s">
        <v>1676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 t="s">
        <v>1698</v>
      </c>
      <c r="B307" s="10" t="s">
        <v>1565</v>
      </c>
      <c r="C307" s="11" t="s">
        <v>1662</v>
      </c>
      <c r="D307" s="12"/>
      <c r="E307" s="16">
        <v>7961435.0</v>
      </c>
      <c r="F307" s="10" t="s">
        <v>1699</v>
      </c>
      <c r="G307" s="10"/>
      <c r="H307" s="10" t="s">
        <v>1700</v>
      </c>
      <c r="I307" s="10"/>
      <c r="J307" s="11" t="s">
        <v>38</v>
      </c>
      <c r="K307" s="10"/>
      <c r="L307" s="10" t="s">
        <v>1701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 t="s">
        <v>1688</v>
      </c>
      <c r="X307" s="10"/>
      <c r="Y307" s="10" t="s">
        <v>1676</v>
      </c>
      <c r="Z307" s="23" t="s">
        <v>1702</v>
      </c>
      <c r="AA307" s="23"/>
      <c r="AB307" s="23"/>
      <c r="AC307" s="23"/>
      <c r="AD307" s="23"/>
      <c r="AE307" s="23"/>
      <c r="AF307" s="23"/>
      <c r="AG307" s="23"/>
      <c r="AH307" s="23"/>
      <c r="AI307" s="23"/>
    </row>
    <row r="308">
      <c r="A308" s="10" t="s">
        <v>1703</v>
      </c>
      <c r="B308" s="10" t="s">
        <v>1565</v>
      </c>
      <c r="C308" s="10" t="s">
        <v>250</v>
      </c>
      <c r="D308" s="12" t="s">
        <v>1704</v>
      </c>
      <c r="E308" s="16">
        <v>7961435.0</v>
      </c>
      <c r="F308" s="10" t="s">
        <v>1699</v>
      </c>
      <c r="G308" s="10"/>
      <c r="H308" s="10" t="s">
        <v>1705</v>
      </c>
      <c r="I308" s="10"/>
      <c r="J308" s="11" t="s">
        <v>38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23" t="s">
        <v>1706</v>
      </c>
      <c r="AA308" s="23"/>
      <c r="AB308" s="23"/>
      <c r="AC308" s="23"/>
      <c r="AD308" s="23"/>
      <c r="AE308" s="23"/>
      <c r="AF308" s="23"/>
      <c r="AG308" s="23"/>
      <c r="AH308" s="23"/>
      <c r="AI308" s="23"/>
    </row>
    <row r="309">
      <c r="A309" s="10" t="s">
        <v>1707</v>
      </c>
      <c r="B309" s="10" t="s">
        <v>1565</v>
      </c>
      <c r="C309" s="24" t="s">
        <v>388</v>
      </c>
      <c r="D309" s="12" t="s">
        <v>1704</v>
      </c>
      <c r="E309" s="16">
        <v>7961435.0</v>
      </c>
      <c r="F309" s="10" t="s">
        <v>1699</v>
      </c>
      <c r="G309" s="10"/>
      <c r="H309" s="10" t="s">
        <v>1700</v>
      </c>
      <c r="I309" s="10"/>
      <c r="J309" s="11" t="s">
        <v>34</v>
      </c>
      <c r="K309" s="11" t="s">
        <v>742</v>
      </c>
      <c r="L309" s="11">
        <v>300.0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 t="s">
        <v>1688</v>
      </c>
      <c r="X309" s="10"/>
      <c r="Y309" s="10" t="s">
        <v>1676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 t="s">
        <v>1708</v>
      </c>
      <c r="B310" s="10" t="s">
        <v>1565</v>
      </c>
      <c r="C310" s="11" t="s">
        <v>1662</v>
      </c>
      <c r="D310" s="12" t="s">
        <v>1704</v>
      </c>
      <c r="E310" s="16">
        <v>7961435.0</v>
      </c>
      <c r="F310" s="10" t="s">
        <v>1699</v>
      </c>
      <c r="G310" s="10"/>
      <c r="H310" s="10" t="s">
        <v>1700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 t="s">
        <v>1709</v>
      </c>
      <c r="B311" s="10" t="s">
        <v>1565</v>
      </c>
      <c r="C311" s="24" t="s">
        <v>388</v>
      </c>
      <c r="D311" s="12" t="s">
        <v>1704</v>
      </c>
      <c r="E311" s="16">
        <v>7961435.0</v>
      </c>
      <c r="F311" s="10" t="s">
        <v>1699</v>
      </c>
      <c r="G311" s="10"/>
      <c r="H311" s="10" t="s">
        <v>1700</v>
      </c>
      <c r="I311" s="11">
        <v>50.0</v>
      </c>
      <c r="J311" s="11" t="s">
        <v>34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 t="s">
        <v>1688</v>
      </c>
      <c r="X311" s="10"/>
      <c r="Y311" s="10" t="s">
        <v>1676</v>
      </c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 t="s">
        <v>1710</v>
      </c>
      <c r="B312" s="10" t="s">
        <v>1565</v>
      </c>
      <c r="C312" s="24" t="s">
        <v>388</v>
      </c>
      <c r="D312" s="12"/>
      <c r="E312" s="16">
        <v>5249190.0</v>
      </c>
      <c r="F312" s="10" t="s">
        <v>1663</v>
      </c>
      <c r="G312" s="10"/>
      <c r="H312" s="10" t="s">
        <v>1711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 t="s">
        <v>1712</v>
      </c>
      <c r="B313" s="10" t="s">
        <v>1565</v>
      </c>
      <c r="C313" s="24" t="s">
        <v>388</v>
      </c>
      <c r="D313" s="12"/>
      <c r="E313" s="16">
        <v>7958313.0</v>
      </c>
      <c r="F313" s="10"/>
      <c r="G313" s="10"/>
      <c r="H313" s="10" t="s">
        <v>1711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 t="s">
        <v>1713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 t="s">
        <v>1714</v>
      </c>
      <c r="B314" s="10" t="s">
        <v>1565</v>
      </c>
      <c r="C314" s="24" t="s">
        <v>388</v>
      </c>
      <c r="D314" s="12"/>
      <c r="E314" s="16">
        <v>7999500.0</v>
      </c>
      <c r="F314" s="10" t="s">
        <v>1663</v>
      </c>
      <c r="G314" s="10"/>
      <c r="H314" s="10" t="s">
        <v>1715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 t="s">
        <v>1688</v>
      </c>
      <c r="X314" s="10"/>
      <c r="Y314" s="10" t="s">
        <v>1683</v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 t="s">
        <v>1716</v>
      </c>
      <c r="B315" s="10" t="s">
        <v>1565</v>
      </c>
      <c r="C315" s="15" t="s">
        <v>388</v>
      </c>
      <c r="D315" s="12" t="s">
        <v>1717</v>
      </c>
      <c r="E315" s="16" t="s">
        <v>1718</v>
      </c>
      <c r="F315" s="10"/>
      <c r="G315" s="10"/>
      <c r="H315" s="10" t="s">
        <v>1719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 t="s">
        <v>1720</v>
      </c>
      <c r="B316" s="10" t="s">
        <v>1565</v>
      </c>
      <c r="C316" s="15" t="s">
        <v>400</v>
      </c>
      <c r="D316" s="12" t="s">
        <v>1721</v>
      </c>
      <c r="E316" s="16" t="s">
        <v>1722</v>
      </c>
      <c r="F316" s="10" t="s">
        <v>1723</v>
      </c>
      <c r="G316" s="10" t="s">
        <v>1724</v>
      </c>
      <c r="H316" s="10" t="s">
        <v>1725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 t="s">
        <v>1726</v>
      </c>
      <c r="B317" s="10" t="s">
        <v>1565</v>
      </c>
      <c r="C317" s="10" t="s">
        <v>332</v>
      </c>
      <c r="D317" s="12"/>
      <c r="E317" s="1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 t="s">
        <v>1727</v>
      </c>
      <c r="B318" s="10" t="s">
        <v>1565</v>
      </c>
      <c r="C318" s="10" t="s">
        <v>332</v>
      </c>
      <c r="D318" s="12"/>
      <c r="E318" s="1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1" t="s">
        <v>1728</v>
      </c>
      <c r="B319" s="10" t="s">
        <v>1565</v>
      </c>
      <c r="C319" s="15" t="s">
        <v>211</v>
      </c>
      <c r="D319" s="12"/>
      <c r="E319" s="16">
        <v>5.6158776E7</v>
      </c>
      <c r="F319" s="10" t="s">
        <v>1729</v>
      </c>
      <c r="G319" s="10" t="s">
        <v>1730</v>
      </c>
      <c r="H319" s="10" t="s">
        <v>1731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1" t="s">
        <v>1732</v>
      </c>
      <c r="B320" s="10" t="s">
        <v>1565</v>
      </c>
      <c r="C320" s="15" t="s">
        <v>211</v>
      </c>
      <c r="D320" s="12" t="s">
        <v>1733</v>
      </c>
      <c r="E320" s="16" t="s">
        <v>1734</v>
      </c>
      <c r="F320" s="10" t="s">
        <v>1735</v>
      </c>
      <c r="G320" s="10" t="s">
        <v>1736</v>
      </c>
      <c r="H320" s="10" t="s">
        <v>1737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 t="s">
        <v>1738</v>
      </c>
      <c r="B321" s="10" t="s">
        <v>1739</v>
      </c>
      <c r="C321" s="15" t="s">
        <v>512</v>
      </c>
      <c r="D321" s="12"/>
      <c r="E321" s="16" t="s">
        <v>1740</v>
      </c>
      <c r="F321" s="10" t="s">
        <v>1741</v>
      </c>
      <c r="G321" s="11" t="s">
        <v>1742</v>
      </c>
      <c r="H321" s="26" t="s">
        <v>1743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 t="s">
        <v>1744</v>
      </c>
      <c r="B322" s="10" t="s">
        <v>1745</v>
      </c>
      <c r="C322" s="15" t="s">
        <v>512</v>
      </c>
      <c r="D322" s="12"/>
      <c r="E322" s="16" t="s">
        <v>1746</v>
      </c>
      <c r="F322" s="10" t="s">
        <v>1747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 t="s">
        <v>1748</v>
      </c>
      <c r="B323" s="10" t="s">
        <v>1739</v>
      </c>
      <c r="C323" s="10" t="s">
        <v>90</v>
      </c>
      <c r="D323" s="12"/>
      <c r="E323" s="16" t="s">
        <v>1749</v>
      </c>
      <c r="F323" s="10" t="s">
        <v>1750</v>
      </c>
      <c r="G323" s="10"/>
      <c r="H323" s="10" t="s">
        <v>1751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 t="s">
        <v>461</v>
      </c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1" t="s">
        <v>1752</v>
      </c>
      <c r="B324" s="10" t="s">
        <v>1739</v>
      </c>
      <c r="C324" s="10" t="s">
        <v>718</v>
      </c>
      <c r="D324" s="12"/>
      <c r="E324" s="16" t="s">
        <v>1753</v>
      </c>
      <c r="F324" s="10" t="s">
        <v>1754</v>
      </c>
      <c r="G324" s="10"/>
      <c r="H324" s="10" t="s">
        <v>1755</v>
      </c>
      <c r="I324" s="11">
        <v>394.0</v>
      </c>
      <c r="J324" s="11" t="s">
        <v>34</v>
      </c>
      <c r="K324" s="10" t="s">
        <v>1756</v>
      </c>
      <c r="L324" s="11">
        <v>394.0</v>
      </c>
      <c r="M324" s="10" t="s">
        <v>1757</v>
      </c>
      <c r="N324" s="10"/>
      <c r="O324" s="10" t="s">
        <v>412</v>
      </c>
      <c r="P324" s="10" t="s">
        <v>412</v>
      </c>
      <c r="Q324" s="10" t="s">
        <v>412</v>
      </c>
      <c r="R324" s="10" t="s">
        <v>1758</v>
      </c>
      <c r="S324" s="10" t="s">
        <v>412</v>
      </c>
      <c r="T324" s="10" t="s">
        <v>412</v>
      </c>
      <c r="U324" s="10"/>
      <c r="V324" s="10"/>
      <c r="W324" s="10" t="s">
        <v>412</v>
      </c>
      <c r="X324" s="10" t="s">
        <v>412</v>
      </c>
      <c r="Y324" s="10" t="s">
        <v>412</v>
      </c>
      <c r="Z324" s="10" t="s">
        <v>1759</v>
      </c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 t="s">
        <v>1760</v>
      </c>
      <c r="B325" s="10" t="s">
        <v>1739</v>
      </c>
      <c r="C325" s="11" t="s">
        <v>29</v>
      </c>
      <c r="D325" s="12" t="s">
        <v>1761</v>
      </c>
      <c r="E325" s="16" t="s">
        <v>1762</v>
      </c>
      <c r="F325" s="10" t="s">
        <v>1763</v>
      </c>
      <c r="G325" s="10"/>
      <c r="H325" s="10"/>
      <c r="I325" s="10"/>
      <c r="J325" s="11" t="s">
        <v>34</v>
      </c>
      <c r="K325" s="10"/>
      <c r="L325" s="11">
        <v>50.0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 t="s">
        <v>1764</v>
      </c>
      <c r="B326" s="10" t="s">
        <v>1739</v>
      </c>
      <c r="C326" s="10" t="s">
        <v>262</v>
      </c>
      <c r="D326" s="12" t="s">
        <v>1765</v>
      </c>
      <c r="E326" s="16" t="s">
        <v>1766</v>
      </c>
      <c r="F326" s="10" t="s">
        <v>1767</v>
      </c>
      <c r="G326" s="10" t="s">
        <v>1768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 t="s">
        <v>1769</v>
      </c>
      <c r="B327" s="10" t="s">
        <v>1739</v>
      </c>
      <c r="C327" s="10" t="s">
        <v>262</v>
      </c>
      <c r="D327" s="12" t="s">
        <v>1770</v>
      </c>
      <c r="E327" s="16" t="s">
        <v>1771</v>
      </c>
      <c r="F327" s="10" t="s">
        <v>1772</v>
      </c>
      <c r="G327" s="10" t="s">
        <v>1773</v>
      </c>
      <c r="H327" s="10" t="s">
        <v>1774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 t="s">
        <v>1775</v>
      </c>
      <c r="B328" s="10" t="s">
        <v>1739</v>
      </c>
      <c r="C328" s="10" t="s">
        <v>262</v>
      </c>
      <c r="D328" s="12" t="s">
        <v>1776</v>
      </c>
      <c r="E328" s="16" t="s">
        <v>1777</v>
      </c>
      <c r="F328" s="10" t="s">
        <v>1778</v>
      </c>
      <c r="G328" s="10" t="s">
        <v>1779</v>
      </c>
      <c r="H328" s="10" t="s">
        <v>1780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 t="s">
        <v>1781</v>
      </c>
      <c r="B329" s="10" t="s">
        <v>1739</v>
      </c>
      <c r="C329" s="10" t="s">
        <v>262</v>
      </c>
      <c r="D329" s="12" t="s">
        <v>1782</v>
      </c>
      <c r="E329" s="16" t="s">
        <v>1783</v>
      </c>
      <c r="F329" s="10" t="s">
        <v>1784</v>
      </c>
      <c r="G329" s="10" t="s">
        <v>1785</v>
      </c>
      <c r="H329" s="10" t="s">
        <v>1786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 t="s">
        <v>1787</v>
      </c>
      <c r="B330" s="10" t="s">
        <v>1739</v>
      </c>
      <c r="C330" s="10" t="s">
        <v>262</v>
      </c>
      <c r="D330" s="12" t="s">
        <v>1788</v>
      </c>
      <c r="E330" s="16" t="s">
        <v>1789</v>
      </c>
      <c r="F330" s="10" t="s">
        <v>1790</v>
      </c>
      <c r="G330" s="10" t="s">
        <v>1791</v>
      </c>
      <c r="H330" s="10" t="s">
        <v>1792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 t="s">
        <v>1793</v>
      </c>
      <c r="B331" s="10" t="s">
        <v>1739</v>
      </c>
      <c r="C331" s="10" t="s">
        <v>262</v>
      </c>
      <c r="D331" s="12"/>
      <c r="E331" s="16" t="s">
        <v>1794</v>
      </c>
      <c r="F331" s="10" t="s">
        <v>1795</v>
      </c>
      <c r="G331" s="10" t="s">
        <v>1796</v>
      </c>
      <c r="H331" s="10" t="s">
        <v>1797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 t="s">
        <v>1798</v>
      </c>
      <c r="B332" s="10" t="s">
        <v>1739</v>
      </c>
      <c r="C332" s="15" t="s">
        <v>112</v>
      </c>
      <c r="D332" s="12" t="s">
        <v>1799</v>
      </c>
      <c r="E332" s="16" t="s">
        <v>1800</v>
      </c>
      <c r="F332" s="10" t="s">
        <v>1801</v>
      </c>
      <c r="G332" s="10" t="s">
        <v>1802</v>
      </c>
      <c r="H332" s="10" t="s">
        <v>1803</v>
      </c>
      <c r="I332" s="10"/>
      <c r="J332" s="11" t="s">
        <v>34</v>
      </c>
      <c r="K332" s="10"/>
      <c r="L332" s="10"/>
      <c r="M332" s="10"/>
      <c r="N332" s="10"/>
      <c r="O332" s="10"/>
      <c r="P332" s="10"/>
      <c r="Q332" s="10" t="s">
        <v>412</v>
      </c>
      <c r="R332" s="10"/>
      <c r="S332" s="10" t="s">
        <v>412</v>
      </c>
      <c r="T332" s="10"/>
      <c r="U332" s="10"/>
      <c r="V332" s="10"/>
      <c r="W332" s="10" t="s">
        <v>1804</v>
      </c>
      <c r="X332" s="10" t="s">
        <v>412</v>
      </c>
      <c r="Y332" s="10" t="s">
        <v>412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 t="s">
        <v>1805</v>
      </c>
      <c r="B333" s="10" t="s">
        <v>1739</v>
      </c>
      <c r="C333" s="15" t="s">
        <v>112</v>
      </c>
      <c r="D333" s="12"/>
      <c r="E333" s="16" t="s">
        <v>1806</v>
      </c>
      <c r="F333" s="10" t="s">
        <v>1807</v>
      </c>
      <c r="G333" s="10" t="s">
        <v>1808</v>
      </c>
      <c r="H333" s="10" t="s">
        <v>1809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 t="s">
        <v>1810</v>
      </c>
      <c r="B334" s="10" t="s">
        <v>1739</v>
      </c>
      <c r="C334" s="15" t="s">
        <v>112</v>
      </c>
      <c r="D334" s="12"/>
      <c r="E334" s="16" t="s">
        <v>1811</v>
      </c>
      <c r="F334" s="10" t="s">
        <v>1812</v>
      </c>
      <c r="G334" s="10" t="s">
        <v>1813</v>
      </c>
      <c r="H334" s="10" t="s">
        <v>1814</v>
      </c>
      <c r="I334" s="11">
        <v>25.0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 t="s">
        <v>1815</v>
      </c>
      <c r="B335" s="10" t="s">
        <v>1739</v>
      </c>
      <c r="C335" s="15" t="s">
        <v>112</v>
      </c>
      <c r="D335" s="12"/>
      <c r="E335" s="16" t="s">
        <v>1816</v>
      </c>
      <c r="F335" s="10" t="s">
        <v>1817</v>
      </c>
      <c r="G335" s="10" t="s">
        <v>1818</v>
      </c>
      <c r="H335" s="10" t="s">
        <v>1819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 t="s">
        <v>1820</v>
      </c>
      <c r="B336" s="10" t="s">
        <v>1739</v>
      </c>
      <c r="C336" s="15" t="s">
        <v>112</v>
      </c>
      <c r="D336" s="12"/>
      <c r="E336" s="16" t="s">
        <v>1821</v>
      </c>
      <c r="F336" s="10" t="s">
        <v>1822</v>
      </c>
      <c r="G336" s="10" t="s">
        <v>1823</v>
      </c>
      <c r="H336" s="10" t="s">
        <v>1824</v>
      </c>
      <c r="I336" s="10"/>
      <c r="J336" s="11" t="s">
        <v>34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 t="s">
        <v>1825</v>
      </c>
      <c r="B337" s="10" t="s">
        <v>1739</v>
      </c>
      <c r="C337" s="15" t="s">
        <v>112</v>
      </c>
      <c r="D337" s="12"/>
      <c r="E337" s="16" t="s">
        <v>1826</v>
      </c>
      <c r="F337" s="10" t="s">
        <v>1827</v>
      </c>
      <c r="G337" s="10" t="s">
        <v>1828</v>
      </c>
      <c r="H337" s="10" t="s">
        <v>1829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 t="s">
        <v>1830</v>
      </c>
      <c r="B338" s="10" t="s">
        <v>1739</v>
      </c>
      <c r="C338" s="15" t="s">
        <v>112</v>
      </c>
      <c r="D338" s="12"/>
      <c r="E338" s="16" t="s">
        <v>1831</v>
      </c>
      <c r="F338" s="10" t="s">
        <v>1832</v>
      </c>
      <c r="G338" s="10" t="s">
        <v>1833</v>
      </c>
      <c r="H338" s="10" t="s">
        <v>1834</v>
      </c>
      <c r="I338" s="10"/>
      <c r="J338" s="10"/>
      <c r="K338" s="10"/>
      <c r="L338" s="10"/>
      <c r="M338" s="10"/>
      <c r="N338" s="10"/>
      <c r="O338" s="10"/>
      <c r="P338" s="10"/>
      <c r="Q338" s="10" t="s">
        <v>412</v>
      </c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 t="s">
        <v>1835</v>
      </c>
      <c r="B339" s="10" t="s">
        <v>1739</v>
      </c>
      <c r="C339" s="15" t="s">
        <v>112</v>
      </c>
      <c r="D339" s="12"/>
      <c r="E339" s="16" t="s">
        <v>1836</v>
      </c>
      <c r="F339" s="10" t="s">
        <v>1837</v>
      </c>
      <c r="G339" s="10" t="s">
        <v>1838</v>
      </c>
      <c r="H339" s="10" t="s">
        <v>1839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 t="s">
        <v>1840</v>
      </c>
      <c r="B340" s="10" t="s">
        <v>1739</v>
      </c>
      <c r="C340" s="15" t="s">
        <v>112</v>
      </c>
      <c r="D340" s="12"/>
      <c r="E340" s="16" t="s">
        <v>1841</v>
      </c>
      <c r="F340" s="10" t="s">
        <v>1842</v>
      </c>
      <c r="G340" s="10" t="s">
        <v>1843</v>
      </c>
      <c r="H340" s="10" t="s">
        <v>1844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 t="s">
        <v>1845</v>
      </c>
      <c r="B341" s="10" t="s">
        <v>1739</v>
      </c>
      <c r="C341" s="15" t="s">
        <v>112</v>
      </c>
      <c r="D341" s="12"/>
      <c r="E341" s="16" t="s">
        <v>1846</v>
      </c>
      <c r="F341" s="10" t="s">
        <v>1847</v>
      </c>
      <c r="G341" s="10" t="s">
        <v>1848</v>
      </c>
      <c r="H341" s="10" t="s">
        <v>1849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 t="s">
        <v>1850</v>
      </c>
      <c r="B342" s="10" t="s">
        <v>1739</v>
      </c>
      <c r="C342" s="15" t="s">
        <v>112</v>
      </c>
      <c r="D342" s="12"/>
      <c r="E342" s="16" t="s">
        <v>1851</v>
      </c>
      <c r="F342" s="10" t="s">
        <v>1852</v>
      </c>
      <c r="G342" s="10" t="s">
        <v>1853</v>
      </c>
      <c r="H342" s="10" t="s">
        <v>1854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 t="s">
        <v>1855</v>
      </c>
      <c r="B343" s="10" t="s">
        <v>1739</v>
      </c>
      <c r="C343" s="15" t="s">
        <v>112</v>
      </c>
      <c r="D343" s="12"/>
      <c r="E343" s="16" t="s">
        <v>1856</v>
      </c>
      <c r="F343" s="10" t="s">
        <v>1857</v>
      </c>
      <c r="G343" s="10" t="s">
        <v>1858</v>
      </c>
      <c r="H343" s="10" t="s">
        <v>1859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 t="s">
        <v>1860</v>
      </c>
      <c r="B344" s="10" t="s">
        <v>1739</v>
      </c>
      <c r="C344" s="24" t="s">
        <v>388</v>
      </c>
      <c r="D344" s="12" t="s">
        <v>1861</v>
      </c>
      <c r="E344" s="16">
        <v>5218540.0</v>
      </c>
      <c r="F344" s="10" t="s">
        <v>1862</v>
      </c>
      <c r="G344" s="10"/>
      <c r="H344" s="10" t="s">
        <v>1863</v>
      </c>
      <c r="I344" s="10"/>
      <c r="J344" s="11" t="s">
        <v>34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 t="s">
        <v>1864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 t="s">
        <v>1865</v>
      </c>
      <c r="B345" s="10" t="s">
        <v>1739</v>
      </c>
      <c r="C345" s="10" t="s">
        <v>250</v>
      </c>
      <c r="D345" s="12"/>
      <c r="E345" s="16">
        <v>5218540.0</v>
      </c>
      <c r="F345" s="10" t="s">
        <v>1866</v>
      </c>
      <c r="G345" s="10"/>
      <c r="H345" s="10"/>
      <c r="I345" s="10"/>
      <c r="J345" s="11" t="s">
        <v>38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 t="s">
        <v>1864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 t="s">
        <v>1867</v>
      </c>
      <c r="B346" s="10" t="s">
        <v>1739</v>
      </c>
      <c r="C346" s="10" t="s">
        <v>1662</v>
      </c>
      <c r="D346" s="12"/>
      <c r="E346" s="1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 t="s">
        <v>1868</v>
      </c>
      <c r="B347" s="10" t="s">
        <v>1739</v>
      </c>
      <c r="C347" s="10" t="s">
        <v>1662</v>
      </c>
      <c r="D347" s="12"/>
      <c r="E347" s="16">
        <v>5036856.0</v>
      </c>
      <c r="F347" s="10" t="s">
        <v>1869</v>
      </c>
      <c r="G347" s="10"/>
      <c r="H347" s="10" t="s">
        <v>1870</v>
      </c>
      <c r="I347" s="10"/>
      <c r="J347" s="10"/>
      <c r="K347" s="10" t="s">
        <v>1871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 t="s">
        <v>1666</v>
      </c>
      <c r="X347" s="10"/>
      <c r="Y347" s="10" t="s">
        <v>1676</v>
      </c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 t="s">
        <v>1872</v>
      </c>
      <c r="B348" s="10" t="s">
        <v>1739</v>
      </c>
      <c r="C348" s="10" t="s">
        <v>1662</v>
      </c>
      <c r="D348" s="12"/>
      <c r="E348" s="16" t="s">
        <v>1821</v>
      </c>
      <c r="F348" s="10" t="s">
        <v>1873</v>
      </c>
      <c r="G348" s="10"/>
      <c r="H348" s="10" t="s">
        <v>1874</v>
      </c>
      <c r="I348" s="10"/>
      <c r="J348" s="11" t="s">
        <v>38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 t="s">
        <v>1666</v>
      </c>
      <c r="X348" s="10"/>
      <c r="Y348" s="10" t="s">
        <v>1676</v>
      </c>
      <c r="Z348" s="23" t="s">
        <v>1875</v>
      </c>
      <c r="AA348" s="23"/>
      <c r="AB348" s="23"/>
      <c r="AC348" s="23"/>
      <c r="AD348" s="23"/>
      <c r="AE348" s="23"/>
      <c r="AF348" s="23"/>
      <c r="AG348" s="23"/>
      <c r="AH348" s="23"/>
      <c r="AI348" s="23"/>
    </row>
    <row r="349">
      <c r="A349" s="10" t="s">
        <v>1876</v>
      </c>
      <c r="B349" s="10" t="s">
        <v>1739</v>
      </c>
      <c r="C349" s="10" t="s">
        <v>1662</v>
      </c>
      <c r="D349" s="12"/>
      <c r="E349" s="16">
        <v>7922336.0</v>
      </c>
      <c r="F349" s="10" t="s">
        <v>1873</v>
      </c>
      <c r="G349" s="10"/>
      <c r="H349" s="10" t="s">
        <v>1874</v>
      </c>
      <c r="I349" s="10"/>
      <c r="J349" s="11" t="s">
        <v>38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 t="s">
        <v>1666</v>
      </c>
      <c r="X349" s="10"/>
      <c r="Y349" s="10" t="s">
        <v>1676</v>
      </c>
      <c r="Z349" s="23" t="s">
        <v>1877</v>
      </c>
      <c r="AA349" s="23"/>
      <c r="AB349" s="23"/>
      <c r="AC349" s="23"/>
      <c r="AD349" s="23"/>
      <c r="AE349" s="23"/>
      <c r="AF349" s="23"/>
      <c r="AG349" s="23"/>
      <c r="AH349" s="23"/>
      <c r="AI349" s="23"/>
    </row>
    <row r="350">
      <c r="A350" s="10" t="s">
        <v>1878</v>
      </c>
      <c r="B350" s="10" t="s">
        <v>1739</v>
      </c>
      <c r="C350" s="11" t="s">
        <v>1662</v>
      </c>
      <c r="D350" s="12"/>
      <c r="E350" s="16">
        <v>7999470.0</v>
      </c>
      <c r="F350" s="10" t="s">
        <v>1879</v>
      </c>
      <c r="G350" s="10"/>
      <c r="H350" s="10" t="s">
        <v>1874</v>
      </c>
      <c r="I350" s="10"/>
      <c r="J350" s="11" t="s">
        <v>38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 t="s">
        <v>1666</v>
      </c>
      <c r="X350" s="10"/>
      <c r="Y350" s="10" t="s">
        <v>1676</v>
      </c>
      <c r="Z350" s="23" t="s">
        <v>1880</v>
      </c>
      <c r="AA350" s="23"/>
      <c r="AB350" s="23"/>
      <c r="AC350" s="23"/>
      <c r="AD350" s="23"/>
      <c r="AE350" s="23"/>
      <c r="AF350" s="23"/>
      <c r="AG350" s="23"/>
      <c r="AH350" s="23"/>
      <c r="AI350" s="23"/>
    </row>
    <row r="351">
      <c r="A351" s="10" t="s">
        <v>1881</v>
      </c>
      <c r="B351" s="10" t="s">
        <v>1739</v>
      </c>
      <c r="C351" s="10" t="s">
        <v>1662</v>
      </c>
      <c r="D351" s="12"/>
      <c r="E351" s="16">
        <v>5260490.0</v>
      </c>
      <c r="F351" s="10" t="s">
        <v>1882</v>
      </c>
      <c r="G351" s="10"/>
      <c r="H351" s="10" t="s">
        <v>1883</v>
      </c>
      <c r="I351" s="10"/>
      <c r="J351" s="11" t="s">
        <v>38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 t="s">
        <v>1683</v>
      </c>
      <c r="Z351" s="23" t="s">
        <v>1884</v>
      </c>
      <c r="AA351" s="23"/>
      <c r="AB351" s="23"/>
      <c r="AC351" s="23"/>
      <c r="AD351" s="23"/>
      <c r="AE351" s="23"/>
      <c r="AF351" s="23"/>
      <c r="AG351" s="23"/>
      <c r="AH351" s="23"/>
      <c r="AI351" s="23"/>
    </row>
    <row r="352">
      <c r="A352" s="10" t="s">
        <v>1885</v>
      </c>
      <c r="B352" s="10" t="s">
        <v>1739</v>
      </c>
      <c r="C352" s="10" t="s">
        <v>250</v>
      </c>
      <c r="D352" s="12" t="s">
        <v>1886</v>
      </c>
      <c r="E352" s="16" t="s">
        <v>1887</v>
      </c>
      <c r="F352" s="10" t="s">
        <v>1888</v>
      </c>
      <c r="G352" s="10"/>
      <c r="H352" s="10" t="s">
        <v>1889</v>
      </c>
      <c r="I352" s="10"/>
      <c r="J352" s="11" t="s">
        <v>34</v>
      </c>
      <c r="K352" s="10"/>
      <c r="L352" s="11">
        <v>30.0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 t="s">
        <v>1666</v>
      </c>
      <c r="X352" s="10"/>
      <c r="Y352" s="10" t="s">
        <v>1683</v>
      </c>
      <c r="Z352" s="23" t="s">
        <v>1890</v>
      </c>
      <c r="AA352" s="23"/>
      <c r="AB352" s="23"/>
      <c r="AC352" s="23"/>
      <c r="AD352" s="23"/>
      <c r="AE352" s="23"/>
      <c r="AF352" s="23"/>
      <c r="AG352" s="23"/>
      <c r="AH352" s="23"/>
      <c r="AI352" s="23"/>
    </row>
    <row r="353">
      <c r="A353" s="10" t="s">
        <v>1891</v>
      </c>
      <c r="B353" s="10" t="s">
        <v>1739</v>
      </c>
      <c r="C353" s="10" t="s">
        <v>1662</v>
      </c>
      <c r="D353" s="12"/>
      <c r="E353" s="16">
        <v>7992222.0</v>
      </c>
      <c r="F353" s="10"/>
      <c r="G353" s="10"/>
      <c r="H353" s="10" t="s">
        <v>1892</v>
      </c>
      <c r="I353" s="10"/>
      <c r="J353" s="11" t="s">
        <v>38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 t="s">
        <v>1666</v>
      </c>
      <c r="X353" s="10"/>
      <c r="Y353" s="10" t="s">
        <v>1893</v>
      </c>
      <c r="Z353" s="23" t="s">
        <v>1894</v>
      </c>
      <c r="AA353" s="23"/>
      <c r="AB353" s="23"/>
      <c r="AC353" s="23"/>
      <c r="AD353" s="23"/>
      <c r="AE353" s="23"/>
      <c r="AF353" s="23"/>
      <c r="AG353" s="23"/>
      <c r="AH353" s="23"/>
      <c r="AI353" s="23"/>
    </row>
    <row r="354">
      <c r="A354" s="10" t="s">
        <v>1895</v>
      </c>
      <c r="B354" s="10" t="s">
        <v>1739</v>
      </c>
      <c r="C354" s="10" t="s">
        <v>1662</v>
      </c>
      <c r="D354" s="12"/>
      <c r="E354" s="16" t="s">
        <v>1896</v>
      </c>
      <c r="F354" s="10"/>
      <c r="G354" s="10"/>
      <c r="H354" s="10" t="s">
        <v>1897</v>
      </c>
      <c r="I354" s="10"/>
      <c r="J354" s="11" t="s">
        <v>38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23" t="s">
        <v>1898</v>
      </c>
      <c r="AA354" s="23"/>
      <c r="AB354" s="23"/>
      <c r="AC354" s="23"/>
      <c r="AD354" s="23"/>
      <c r="AE354" s="23"/>
      <c r="AF354" s="23"/>
      <c r="AG354" s="23"/>
      <c r="AH354" s="23"/>
      <c r="AI354" s="23"/>
    </row>
    <row r="355">
      <c r="A355" s="10" t="s">
        <v>1899</v>
      </c>
      <c r="B355" s="10" t="s">
        <v>1739</v>
      </c>
      <c r="C355" s="24" t="s">
        <v>388</v>
      </c>
      <c r="D355" s="12" t="s">
        <v>1900</v>
      </c>
      <c r="E355" s="16">
        <v>5.5945171E7</v>
      </c>
      <c r="F355" s="10" t="s">
        <v>1901</v>
      </c>
      <c r="G355" s="10"/>
      <c r="H355" s="10" t="s">
        <v>1902</v>
      </c>
      <c r="I355" s="10"/>
      <c r="J355" s="11" t="s">
        <v>34</v>
      </c>
      <c r="K355" s="11" t="s">
        <v>35</v>
      </c>
      <c r="L355" s="11">
        <v>60.0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 t="s">
        <v>1666</v>
      </c>
      <c r="X355" s="10"/>
      <c r="Y355" s="10" t="s">
        <v>1903</v>
      </c>
      <c r="Z355" s="11" t="s">
        <v>1904</v>
      </c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>
      <c r="A356" s="10" t="s">
        <v>1905</v>
      </c>
      <c r="B356" s="10" t="s">
        <v>1739</v>
      </c>
      <c r="C356" s="10" t="s">
        <v>1662</v>
      </c>
      <c r="D356" s="12"/>
      <c r="E356" s="16">
        <v>5140331.0</v>
      </c>
      <c r="F356" s="10" t="s">
        <v>1906</v>
      </c>
      <c r="G356" s="10"/>
      <c r="H356" s="10" t="s">
        <v>1907</v>
      </c>
      <c r="I356" s="10"/>
      <c r="J356" s="11" t="s">
        <v>38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 t="s">
        <v>1683</v>
      </c>
      <c r="Z356" s="23" t="s">
        <v>1898</v>
      </c>
      <c r="AA356" s="23"/>
      <c r="AB356" s="23"/>
      <c r="AC356" s="23"/>
      <c r="AD356" s="23"/>
      <c r="AE356" s="23"/>
      <c r="AF356" s="23"/>
      <c r="AG356" s="23"/>
      <c r="AH356" s="23"/>
      <c r="AI356" s="23"/>
    </row>
    <row r="357">
      <c r="A357" s="10" t="s">
        <v>1908</v>
      </c>
      <c r="B357" s="10" t="s">
        <v>1739</v>
      </c>
      <c r="C357" s="10" t="s">
        <v>1662</v>
      </c>
      <c r="D357" s="12"/>
      <c r="E357" s="16">
        <v>5103720.0</v>
      </c>
      <c r="F357" s="10" t="s">
        <v>1909</v>
      </c>
      <c r="G357" s="10"/>
      <c r="H357" s="10" t="s">
        <v>1910</v>
      </c>
      <c r="I357" s="10"/>
      <c r="J357" s="11" t="s">
        <v>38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 t="s">
        <v>1683</v>
      </c>
      <c r="Z357" s="23" t="s">
        <v>1911</v>
      </c>
      <c r="AA357" s="23"/>
      <c r="AB357" s="23"/>
      <c r="AC357" s="23"/>
      <c r="AD357" s="23"/>
      <c r="AE357" s="23"/>
      <c r="AF357" s="23"/>
      <c r="AG357" s="23"/>
      <c r="AH357" s="23"/>
      <c r="AI357" s="23"/>
    </row>
    <row r="358">
      <c r="A358" s="10" t="s">
        <v>1912</v>
      </c>
      <c r="B358" s="10" t="s">
        <v>1739</v>
      </c>
      <c r="C358" s="11" t="s">
        <v>388</v>
      </c>
      <c r="D358" s="12" t="s">
        <v>1913</v>
      </c>
      <c r="E358" s="16">
        <v>5160656.0</v>
      </c>
      <c r="F358" s="10" t="s">
        <v>1909</v>
      </c>
      <c r="G358" s="10"/>
      <c r="H358" s="10" t="s">
        <v>1910</v>
      </c>
      <c r="I358" s="10"/>
      <c r="J358" s="11" t="s">
        <v>34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 t="s">
        <v>1683</v>
      </c>
      <c r="Z358" s="11" t="s">
        <v>1914</v>
      </c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>
      <c r="A359" s="10" t="s">
        <v>1915</v>
      </c>
      <c r="B359" s="10" t="s">
        <v>1739</v>
      </c>
      <c r="C359" s="10" t="s">
        <v>1662</v>
      </c>
      <c r="D359" s="12"/>
      <c r="E359" s="16" t="s">
        <v>1831</v>
      </c>
      <c r="F359" s="10" t="s">
        <v>1916</v>
      </c>
      <c r="G359" s="10"/>
      <c r="H359" s="10" t="s">
        <v>1917</v>
      </c>
      <c r="I359" s="10"/>
      <c r="J359" s="10"/>
      <c r="K359" s="10" t="s">
        <v>1918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 t="s">
        <v>1919</v>
      </c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 t="s">
        <v>1920</v>
      </c>
      <c r="B360" s="11" t="s">
        <v>1739</v>
      </c>
      <c r="C360" s="24" t="s">
        <v>388</v>
      </c>
      <c r="D360" s="12"/>
      <c r="E360" s="16">
        <v>7992574.0</v>
      </c>
      <c r="F360" s="10" t="s">
        <v>1921</v>
      </c>
      <c r="G360" s="10"/>
      <c r="H360" s="10" t="s">
        <v>1922</v>
      </c>
      <c r="I360" s="10"/>
      <c r="J360" s="11" t="s">
        <v>34</v>
      </c>
      <c r="K360" s="11" t="s">
        <v>35</v>
      </c>
      <c r="L360" s="11">
        <v>288.0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 t="s">
        <v>1923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 t="s">
        <v>1924</v>
      </c>
      <c r="B361" s="11" t="s">
        <v>1739</v>
      </c>
      <c r="C361" s="10" t="s">
        <v>250</v>
      </c>
      <c r="D361" s="12" t="s">
        <v>1925</v>
      </c>
      <c r="E361" s="16" t="s">
        <v>1926</v>
      </c>
      <c r="F361" s="10" t="s">
        <v>1927</v>
      </c>
      <c r="G361" s="10"/>
      <c r="H361" s="10" t="s">
        <v>1928</v>
      </c>
      <c r="I361" s="10"/>
      <c r="J361" s="11" t="s">
        <v>34</v>
      </c>
      <c r="K361" s="11" t="s">
        <v>35</v>
      </c>
      <c r="L361" s="11">
        <v>80.0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 t="s">
        <v>1688</v>
      </c>
      <c r="X361" s="10"/>
      <c r="Y361" s="10" t="s">
        <v>1893</v>
      </c>
      <c r="Z361" s="23" t="s">
        <v>1929</v>
      </c>
      <c r="AA361" s="23"/>
      <c r="AB361" s="23"/>
      <c r="AC361" s="23"/>
      <c r="AD361" s="23"/>
      <c r="AE361" s="23"/>
      <c r="AF361" s="23"/>
      <c r="AG361" s="23"/>
      <c r="AH361" s="23"/>
      <c r="AI361" s="23"/>
    </row>
    <row r="362">
      <c r="A362" s="10" t="s">
        <v>1930</v>
      </c>
      <c r="B362" s="11" t="s">
        <v>1739</v>
      </c>
      <c r="C362" s="10" t="s">
        <v>1662</v>
      </c>
      <c r="D362" s="12"/>
      <c r="E362" s="16" t="s">
        <v>1931</v>
      </c>
      <c r="F362" s="10" t="s">
        <v>1932</v>
      </c>
      <c r="G362" s="10"/>
      <c r="H362" s="10" t="s">
        <v>1933</v>
      </c>
      <c r="I362" s="10"/>
      <c r="J362" s="11" t="s">
        <v>38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 t="s">
        <v>1864</v>
      </c>
      <c r="Z362" s="23" t="s">
        <v>1934</v>
      </c>
      <c r="AA362" s="23"/>
      <c r="AB362" s="23"/>
      <c r="AC362" s="23"/>
      <c r="AD362" s="23"/>
      <c r="AE362" s="23"/>
      <c r="AF362" s="23"/>
      <c r="AG362" s="23"/>
      <c r="AH362" s="23"/>
      <c r="AI362" s="23"/>
    </row>
    <row r="363">
      <c r="A363" s="10" t="s">
        <v>1935</v>
      </c>
      <c r="B363" s="11" t="s">
        <v>1739</v>
      </c>
      <c r="C363" s="10" t="s">
        <v>250</v>
      </c>
      <c r="D363" s="12"/>
      <c r="E363" s="16" t="s">
        <v>1936</v>
      </c>
      <c r="F363" s="10" t="s">
        <v>1937</v>
      </c>
      <c r="G363" s="10"/>
      <c r="H363" s="10" t="s">
        <v>1938</v>
      </c>
      <c r="I363" s="10"/>
      <c r="J363" s="11" t="s">
        <v>38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 t="s">
        <v>1688</v>
      </c>
      <c r="X363" s="10"/>
      <c r="Y363" s="10" t="s">
        <v>1919</v>
      </c>
      <c r="Z363" s="23" t="s">
        <v>1939</v>
      </c>
      <c r="AA363" s="23"/>
      <c r="AB363" s="23"/>
      <c r="AC363" s="23"/>
      <c r="AD363" s="23"/>
      <c r="AE363" s="23"/>
      <c r="AF363" s="23"/>
      <c r="AG363" s="23"/>
      <c r="AH363" s="23"/>
      <c r="AI363" s="23"/>
    </row>
    <row r="364">
      <c r="A364" s="10" t="s">
        <v>1940</v>
      </c>
      <c r="B364" s="11" t="s">
        <v>1739</v>
      </c>
      <c r="C364" s="10" t="s">
        <v>1662</v>
      </c>
      <c r="D364" s="12"/>
      <c r="E364" s="1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 t="s">
        <v>1941</v>
      </c>
      <c r="B365" s="11" t="s">
        <v>1739</v>
      </c>
      <c r="C365" s="24" t="s">
        <v>388</v>
      </c>
      <c r="D365" s="12"/>
      <c r="E365" s="16">
        <v>5109658.0</v>
      </c>
      <c r="F365" s="10"/>
      <c r="G365" s="10"/>
      <c r="H365" s="10" t="s">
        <v>1928</v>
      </c>
      <c r="I365" s="10"/>
      <c r="J365" s="11" t="s">
        <v>34</v>
      </c>
      <c r="K365" s="11" t="s">
        <v>35</v>
      </c>
      <c r="L365" s="11">
        <v>742.0</v>
      </c>
      <c r="M365" s="10"/>
      <c r="N365" s="10"/>
      <c r="O365" s="11" t="s">
        <v>37</v>
      </c>
      <c r="P365" s="11" t="s">
        <v>74</v>
      </c>
      <c r="Q365" s="11" t="s">
        <v>74</v>
      </c>
      <c r="R365" s="10"/>
      <c r="S365" s="11" t="s">
        <v>38</v>
      </c>
      <c r="T365" s="10"/>
      <c r="U365" s="10"/>
      <c r="V365" s="11" t="s">
        <v>34</v>
      </c>
      <c r="W365" s="11" t="s">
        <v>34</v>
      </c>
      <c r="X365" s="11" t="s">
        <v>34</v>
      </c>
      <c r="Y365" s="10" t="s">
        <v>1919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 t="s">
        <v>1942</v>
      </c>
      <c r="B366" s="11" t="s">
        <v>1739</v>
      </c>
      <c r="C366" s="10" t="s">
        <v>1662</v>
      </c>
      <c r="D366" s="12"/>
      <c r="E366" s="16" t="s">
        <v>1943</v>
      </c>
      <c r="F366" s="10" t="s">
        <v>1932</v>
      </c>
      <c r="G366" s="10"/>
      <c r="H366" s="10" t="s">
        <v>1944</v>
      </c>
      <c r="I366" s="10"/>
      <c r="J366" s="11" t="s">
        <v>38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7"/>
      <c r="W366" s="10"/>
      <c r="X366" s="10"/>
      <c r="Y366" s="10" t="s">
        <v>1672</v>
      </c>
      <c r="Z366" s="23" t="s">
        <v>1945</v>
      </c>
      <c r="AA366" s="23"/>
      <c r="AB366" s="23"/>
      <c r="AC366" s="23"/>
      <c r="AD366" s="23"/>
      <c r="AE366" s="23"/>
      <c r="AF366" s="23"/>
      <c r="AG366" s="23"/>
      <c r="AH366" s="23"/>
      <c r="AI366" s="23"/>
    </row>
    <row r="367">
      <c r="A367" s="10" t="s">
        <v>1946</v>
      </c>
      <c r="B367" s="11" t="s">
        <v>1739</v>
      </c>
      <c r="C367" s="10" t="s">
        <v>1662</v>
      </c>
      <c r="D367" s="12"/>
      <c r="E367" s="16">
        <v>7999470.0</v>
      </c>
      <c r="F367" s="10" t="s">
        <v>1932</v>
      </c>
      <c r="G367" s="10"/>
      <c r="H367" s="10" t="s">
        <v>1944</v>
      </c>
      <c r="I367" s="10"/>
      <c r="J367" s="11" t="s">
        <v>38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 t="s">
        <v>1672</v>
      </c>
      <c r="Z367" s="23" t="s">
        <v>1947</v>
      </c>
      <c r="AA367" s="23"/>
      <c r="AB367" s="23"/>
      <c r="AC367" s="23"/>
      <c r="AD367" s="23"/>
      <c r="AE367" s="23"/>
      <c r="AF367" s="23"/>
      <c r="AG367" s="23"/>
      <c r="AH367" s="23"/>
      <c r="AI367" s="23"/>
    </row>
    <row r="368">
      <c r="A368" s="10" t="s">
        <v>1948</v>
      </c>
      <c r="B368" s="11" t="s">
        <v>1739</v>
      </c>
      <c r="C368" s="10" t="s">
        <v>1662</v>
      </c>
      <c r="D368" s="12"/>
      <c r="E368" s="16">
        <v>7999470.0</v>
      </c>
      <c r="F368" s="10" t="s">
        <v>1932</v>
      </c>
      <c r="G368" s="10"/>
      <c r="H368" s="10" t="s">
        <v>1949</v>
      </c>
      <c r="I368" s="10"/>
      <c r="J368" s="11" t="s">
        <v>38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23" t="s">
        <v>1950</v>
      </c>
      <c r="AA368" s="23"/>
      <c r="AB368" s="23"/>
      <c r="AC368" s="23"/>
      <c r="AD368" s="23"/>
      <c r="AE368" s="23"/>
      <c r="AF368" s="23"/>
      <c r="AG368" s="23"/>
      <c r="AH368" s="23"/>
      <c r="AI368" s="23"/>
    </row>
    <row r="369">
      <c r="A369" s="10" t="s">
        <v>1951</v>
      </c>
      <c r="B369" s="11" t="s">
        <v>1739</v>
      </c>
      <c r="C369" s="10" t="s">
        <v>1662</v>
      </c>
      <c r="D369" s="12" t="s">
        <v>1952</v>
      </c>
      <c r="E369" s="16" t="s">
        <v>1943</v>
      </c>
      <c r="F369" s="10" t="s">
        <v>1932</v>
      </c>
      <c r="G369" s="10"/>
      <c r="H369" s="10" t="s">
        <v>1949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 t="s">
        <v>1919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 t="s">
        <v>1953</v>
      </c>
      <c r="B370" s="11" t="s">
        <v>1739</v>
      </c>
      <c r="C370" s="10" t="s">
        <v>1662</v>
      </c>
      <c r="D370" s="12" t="s">
        <v>1954</v>
      </c>
      <c r="E370" s="16">
        <v>5178476.0</v>
      </c>
      <c r="F370" s="10" t="s">
        <v>1955</v>
      </c>
      <c r="G370" s="10"/>
      <c r="H370" s="10" t="s">
        <v>1956</v>
      </c>
      <c r="I370" s="10"/>
      <c r="J370" s="11" t="s">
        <v>38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23" t="s">
        <v>1957</v>
      </c>
      <c r="AA370" s="23"/>
      <c r="AB370" s="23"/>
      <c r="AC370" s="23"/>
      <c r="AD370" s="23"/>
      <c r="AE370" s="23"/>
      <c r="AF370" s="23"/>
      <c r="AG370" s="23"/>
      <c r="AH370" s="23"/>
      <c r="AI370" s="23"/>
    </row>
    <row r="371">
      <c r="A371" s="10" t="s">
        <v>1958</v>
      </c>
      <c r="B371" s="11" t="s">
        <v>1739</v>
      </c>
      <c r="C371" s="24" t="s">
        <v>1662</v>
      </c>
      <c r="D371" s="12"/>
      <c r="E371" s="16" t="s">
        <v>1959</v>
      </c>
      <c r="F371" s="10" t="s">
        <v>1932</v>
      </c>
      <c r="G371" s="10"/>
      <c r="H371" s="10" t="s">
        <v>1960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 t="s">
        <v>1919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 t="s">
        <v>1961</v>
      </c>
      <c r="B372" s="11" t="s">
        <v>1739</v>
      </c>
      <c r="C372" s="11" t="s">
        <v>388</v>
      </c>
      <c r="D372" s="12"/>
      <c r="E372" s="16">
        <v>5.5945171E7</v>
      </c>
      <c r="F372" s="10" t="s">
        <v>1962</v>
      </c>
      <c r="G372" s="10"/>
      <c r="H372" s="10" t="s">
        <v>1963</v>
      </c>
      <c r="I372" s="10"/>
      <c r="J372" s="11" t="s">
        <v>34</v>
      </c>
      <c r="K372" s="11" t="s">
        <v>35</v>
      </c>
      <c r="L372" s="11">
        <v>25.0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 t="s">
        <v>1676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 t="s">
        <v>1964</v>
      </c>
      <c r="B373" s="11" t="s">
        <v>1739</v>
      </c>
      <c r="C373" s="10" t="s">
        <v>388</v>
      </c>
      <c r="D373" s="28" t="s">
        <v>1965</v>
      </c>
      <c r="E373" s="16" t="s">
        <v>1966</v>
      </c>
      <c r="F373" s="10" t="s">
        <v>1962</v>
      </c>
      <c r="G373" s="10"/>
      <c r="H373" s="10" t="s">
        <v>1967</v>
      </c>
      <c r="I373" s="10"/>
      <c r="J373" s="11" t="s">
        <v>34</v>
      </c>
      <c r="K373" s="11" t="s">
        <v>35</v>
      </c>
      <c r="L373" s="11">
        <v>600.0</v>
      </c>
      <c r="M373" s="10"/>
      <c r="N373" s="10"/>
      <c r="O373" s="11" t="s">
        <v>37</v>
      </c>
      <c r="P373" s="11" t="s">
        <v>74</v>
      </c>
      <c r="Q373" s="11" t="s">
        <v>37</v>
      </c>
      <c r="R373" s="10"/>
      <c r="S373" s="11" t="s">
        <v>38</v>
      </c>
      <c r="T373" s="10"/>
      <c r="U373" s="10"/>
      <c r="V373" s="10"/>
      <c r="W373" s="10" t="s">
        <v>1688</v>
      </c>
      <c r="X373" s="10"/>
      <c r="Y373" s="10" t="s">
        <v>1864</v>
      </c>
      <c r="Z373" s="11" t="s">
        <v>1968</v>
      </c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>
      <c r="A374" s="10" t="s">
        <v>1969</v>
      </c>
      <c r="B374" s="11" t="s">
        <v>1739</v>
      </c>
      <c r="C374" s="10" t="s">
        <v>1662</v>
      </c>
      <c r="D374" s="12"/>
      <c r="E374" s="16">
        <v>5034977.0</v>
      </c>
      <c r="F374" s="10" t="s">
        <v>1970</v>
      </c>
      <c r="G374" s="10"/>
      <c r="H374" s="10" t="s">
        <v>1971</v>
      </c>
      <c r="I374" s="10"/>
      <c r="J374" s="11" t="s">
        <v>38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 t="s">
        <v>1972</v>
      </c>
      <c r="Z374" s="23" t="s">
        <v>1973</v>
      </c>
      <c r="AA374" s="23"/>
      <c r="AB374" s="23"/>
      <c r="AC374" s="23"/>
      <c r="AD374" s="23"/>
      <c r="AE374" s="23"/>
      <c r="AF374" s="23"/>
      <c r="AG374" s="23"/>
      <c r="AH374" s="23"/>
      <c r="AI374" s="23"/>
    </row>
    <row r="375">
      <c r="A375" s="10" t="s">
        <v>1974</v>
      </c>
      <c r="B375" s="10" t="s">
        <v>1739</v>
      </c>
      <c r="C375" s="10" t="s">
        <v>1662</v>
      </c>
      <c r="D375" s="12"/>
      <c r="E375" s="16">
        <v>5127999.0</v>
      </c>
      <c r="F375" s="10"/>
      <c r="G375" s="10"/>
      <c r="H375" s="10" t="s">
        <v>1975</v>
      </c>
      <c r="I375" s="10"/>
      <c r="J375" s="11" t="s">
        <v>38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 t="s">
        <v>1667</v>
      </c>
      <c r="Z375" s="23" t="s">
        <v>1976</v>
      </c>
      <c r="AA375" s="23"/>
      <c r="AB375" s="23"/>
      <c r="AC375" s="23"/>
      <c r="AD375" s="23"/>
      <c r="AE375" s="23"/>
      <c r="AF375" s="23"/>
      <c r="AG375" s="23"/>
      <c r="AH375" s="23"/>
      <c r="AI375" s="23"/>
    </row>
    <row r="376">
      <c r="A376" s="10" t="s">
        <v>1977</v>
      </c>
      <c r="B376" s="10" t="s">
        <v>1739</v>
      </c>
      <c r="C376" s="10" t="s">
        <v>1662</v>
      </c>
      <c r="D376" s="12"/>
      <c r="E376" s="16"/>
      <c r="F376" s="10"/>
      <c r="G376" s="10"/>
      <c r="H376" s="10" t="s">
        <v>1978</v>
      </c>
      <c r="I376" s="10"/>
      <c r="J376" s="11" t="s">
        <v>38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1" t="s">
        <v>583</v>
      </c>
      <c r="Z376" s="23" t="s">
        <v>1979</v>
      </c>
      <c r="AA376" s="23"/>
      <c r="AB376" s="23"/>
      <c r="AC376" s="23"/>
      <c r="AD376" s="23"/>
      <c r="AE376" s="23"/>
      <c r="AF376" s="23"/>
      <c r="AG376" s="23"/>
      <c r="AH376" s="23"/>
      <c r="AI376" s="23"/>
    </row>
    <row r="377">
      <c r="A377" s="10" t="s">
        <v>1980</v>
      </c>
      <c r="B377" s="10" t="s">
        <v>1739</v>
      </c>
      <c r="C377" s="24" t="s">
        <v>388</v>
      </c>
      <c r="D377" s="12" t="s">
        <v>1981</v>
      </c>
      <c r="E377" s="16">
        <v>7929341.0</v>
      </c>
      <c r="F377" s="10" t="s">
        <v>1982</v>
      </c>
      <c r="G377" s="10"/>
      <c r="H377" s="10" t="s">
        <v>1983</v>
      </c>
      <c r="I377" s="10"/>
      <c r="J377" s="11" t="s">
        <v>34</v>
      </c>
      <c r="K377" s="11" t="s">
        <v>35</v>
      </c>
      <c r="L377" s="11">
        <v>540.0</v>
      </c>
      <c r="M377" s="10"/>
      <c r="N377" s="10"/>
      <c r="O377" s="11" t="s">
        <v>74</v>
      </c>
      <c r="P377" s="11" t="s">
        <v>74</v>
      </c>
      <c r="Q377" s="11" t="s">
        <v>74</v>
      </c>
      <c r="R377" s="10"/>
      <c r="S377" s="10"/>
      <c r="T377" s="10"/>
      <c r="U377" s="10"/>
      <c r="V377" s="10"/>
      <c r="W377" s="10" t="s">
        <v>1688</v>
      </c>
      <c r="X377" s="10"/>
      <c r="Y377" s="10" t="s">
        <v>1676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 t="s">
        <v>1984</v>
      </c>
      <c r="B378" s="10" t="s">
        <v>1739</v>
      </c>
      <c r="C378" s="11" t="s">
        <v>250</v>
      </c>
      <c r="D378" s="12"/>
      <c r="E378" s="16">
        <v>5.3541519E7</v>
      </c>
      <c r="F378" s="10" t="s">
        <v>1985</v>
      </c>
      <c r="G378" s="10"/>
      <c r="H378" s="10" t="s">
        <v>1986</v>
      </c>
      <c r="I378" s="10"/>
      <c r="J378" s="11" t="s">
        <v>34</v>
      </c>
      <c r="K378" s="11" t="s">
        <v>35</v>
      </c>
      <c r="L378" s="11">
        <v>10.0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 t="s">
        <v>1688</v>
      </c>
      <c r="X378" s="10"/>
      <c r="Y378" s="10" t="s">
        <v>1987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 t="s">
        <v>1988</v>
      </c>
      <c r="B379" s="10" t="s">
        <v>1739</v>
      </c>
      <c r="C379" s="11" t="s">
        <v>250</v>
      </c>
      <c r="D379" s="12"/>
      <c r="E379" s="16" t="s">
        <v>1989</v>
      </c>
      <c r="F379" s="10" t="s">
        <v>1990</v>
      </c>
      <c r="G379" s="10"/>
      <c r="H379" s="10" t="s">
        <v>1991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 t="s">
        <v>1683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 t="s">
        <v>1992</v>
      </c>
      <c r="B380" s="10" t="s">
        <v>1739</v>
      </c>
      <c r="C380" s="24" t="s">
        <v>388</v>
      </c>
      <c r="D380" s="12" t="s">
        <v>1993</v>
      </c>
      <c r="E380" s="16" t="s">
        <v>1989</v>
      </c>
      <c r="F380" s="10" t="s">
        <v>1990</v>
      </c>
      <c r="G380" s="10"/>
      <c r="H380" s="10" t="s">
        <v>1994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 t="s">
        <v>1676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 t="s">
        <v>1995</v>
      </c>
      <c r="B381" s="10" t="s">
        <v>1739</v>
      </c>
      <c r="C381" s="10" t="s">
        <v>332</v>
      </c>
      <c r="D381" s="12" t="s">
        <v>1996</v>
      </c>
      <c r="E381" s="16" t="s">
        <v>1997</v>
      </c>
      <c r="F381" s="10" t="s">
        <v>1998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 t="s">
        <v>1999</v>
      </c>
      <c r="B382" s="10" t="s">
        <v>1739</v>
      </c>
      <c r="C382" s="15" t="s">
        <v>400</v>
      </c>
      <c r="D382" s="12" t="s">
        <v>2000</v>
      </c>
      <c r="E382" s="16" t="s">
        <v>2001</v>
      </c>
      <c r="F382" s="10" t="s">
        <v>2002</v>
      </c>
      <c r="G382" s="10" t="s">
        <v>2003</v>
      </c>
      <c r="H382" s="10" t="s">
        <v>2004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 t="s">
        <v>2005</v>
      </c>
      <c r="B383" s="10" t="s">
        <v>1739</v>
      </c>
      <c r="C383" s="10" t="s">
        <v>2006</v>
      </c>
      <c r="D383" s="12" t="s">
        <v>2007</v>
      </c>
      <c r="E383" s="16" t="s">
        <v>2008</v>
      </c>
      <c r="F383" s="10" t="s">
        <v>2009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 t="s">
        <v>2010</v>
      </c>
      <c r="B384" s="10" t="s">
        <v>1739</v>
      </c>
      <c r="C384" s="15" t="s">
        <v>400</v>
      </c>
      <c r="D384" s="12" t="s">
        <v>2011</v>
      </c>
      <c r="E384" s="16" t="s">
        <v>2012</v>
      </c>
      <c r="F384" s="10" t="s">
        <v>2013</v>
      </c>
      <c r="G384" s="10" t="s">
        <v>2014</v>
      </c>
      <c r="H384" s="10" t="s">
        <v>2015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 t="s">
        <v>2016</v>
      </c>
      <c r="B385" s="10" t="s">
        <v>1739</v>
      </c>
      <c r="C385" s="15" t="s">
        <v>211</v>
      </c>
      <c r="D385" s="12"/>
      <c r="E385" s="16" t="s">
        <v>2017</v>
      </c>
      <c r="F385" s="10" t="s">
        <v>2018</v>
      </c>
      <c r="G385" s="10" t="s">
        <v>2019</v>
      </c>
      <c r="H385" s="10" t="s">
        <v>2020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 t="s">
        <v>2021</v>
      </c>
      <c r="B386" s="10" t="s">
        <v>1739</v>
      </c>
      <c r="C386" s="15" t="s">
        <v>211</v>
      </c>
      <c r="D386" s="12"/>
      <c r="E386" s="16" t="s">
        <v>2022</v>
      </c>
      <c r="F386" s="10" t="s">
        <v>2023</v>
      </c>
      <c r="G386" s="10" t="s">
        <v>2024</v>
      </c>
      <c r="H386" s="10" t="s">
        <v>2025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 t="s">
        <v>2026</v>
      </c>
      <c r="B387" s="10" t="s">
        <v>1739</v>
      </c>
      <c r="C387" s="15" t="s">
        <v>211</v>
      </c>
      <c r="D387" s="12"/>
      <c r="E387" s="16" t="s">
        <v>2027</v>
      </c>
      <c r="F387" s="10" t="s">
        <v>2028</v>
      </c>
      <c r="G387" s="10" t="s">
        <v>2029</v>
      </c>
      <c r="H387" s="10" t="s">
        <v>2030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 t="s">
        <v>2031</v>
      </c>
      <c r="B388" s="10" t="s">
        <v>1739</v>
      </c>
      <c r="C388" s="15" t="s">
        <v>211</v>
      </c>
      <c r="D388" s="12"/>
      <c r="E388" s="16"/>
      <c r="F388" s="10"/>
      <c r="G388" s="10" t="s">
        <v>2032</v>
      </c>
      <c r="H388" s="10" t="s">
        <v>2033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 t="s">
        <v>2034</v>
      </c>
      <c r="B389" s="10" t="s">
        <v>1739</v>
      </c>
      <c r="C389" s="15" t="s">
        <v>211</v>
      </c>
      <c r="D389" s="12"/>
      <c r="E389" s="16" t="s">
        <v>2035</v>
      </c>
      <c r="F389" s="10" t="s">
        <v>2036</v>
      </c>
      <c r="G389" s="10" t="s">
        <v>2037</v>
      </c>
      <c r="H389" s="10" t="s">
        <v>2038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 t="s">
        <v>2039</v>
      </c>
      <c r="B390" s="10" t="s">
        <v>1739</v>
      </c>
      <c r="C390" s="15" t="s">
        <v>211</v>
      </c>
      <c r="D390" s="12"/>
      <c r="E390" s="16" t="s">
        <v>2040</v>
      </c>
      <c r="F390" s="10"/>
      <c r="G390" s="10" t="s">
        <v>2041</v>
      </c>
      <c r="H390" s="10" t="s">
        <v>2042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 t="s">
        <v>2043</v>
      </c>
      <c r="B391" s="11" t="s">
        <v>1739</v>
      </c>
      <c r="C391" s="15" t="s">
        <v>512</v>
      </c>
      <c r="D391" s="29" t="s">
        <v>2044</v>
      </c>
      <c r="E391" s="16" t="s">
        <v>2045</v>
      </c>
      <c r="F391" s="10" t="s">
        <v>2046</v>
      </c>
      <c r="G391" s="11" t="s">
        <v>2047</v>
      </c>
      <c r="H391" s="26" t="s">
        <v>2048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 t="s">
        <v>2049</v>
      </c>
      <c r="B392" s="10" t="s">
        <v>2050</v>
      </c>
      <c r="C392" s="11" t="s">
        <v>90</v>
      </c>
      <c r="D392" s="12" t="s">
        <v>2051</v>
      </c>
      <c r="E392" s="16" t="s">
        <v>2052</v>
      </c>
      <c r="F392" s="10" t="s">
        <v>2053</v>
      </c>
      <c r="G392" s="10" t="s">
        <v>2054</v>
      </c>
      <c r="H392" s="10" t="s">
        <v>2055</v>
      </c>
      <c r="I392" s="10"/>
      <c r="J392" s="11" t="s">
        <v>34</v>
      </c>
      <c r="K392" s="11" t="s">
        <v>35</v>
      </c>
      <c r="L392" s="11">
        <v>60.0</v>
      </c>
      <c r="M392" s="10"/>
      <c r="N392" s="10"/>
      <c r="O392" s="11" t="s">
        <v>37</v>
      </c>
      <c r="P392" s="11" t="s">
        <v>74</v>
      </c>
      <c r="Q392" s="11" t="s">
        <v>37</v>
      </c>
      <c r="R392" s="10"/>
      <c r="S392" s="11" t="s">
        <v>34</v>
      </c>
      <c r="T392" s="11" t="s">
        <v>518</v>
      </c>
      <c r="U392" s="10"/>
      <c r="V392" s="10" t="s">
        <v>2056</v>
      </c>
      <c r="W392" s="10"/>
      <c r="X392" s="10"/>
      <c r="Y392" s="11" t="s">
        <v>591</v>
      </c>
      <c r="Z392" s="11" t="s">
        <v>2057</v>
      </c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>
      <c r="A393" s="10" t="s">
        <v>2058</v>
      </c>
      <c r="B393" s="10" t="s">
        <v>2050</v>
      </c>
      <c r="C393" s="10" t="s">
        <v>90</v>
      </c>
      <c r="D393" s="12" t="s">
        <v>2059</v>
      </c>
      <c r="E393" s="16" t="s">
        <v>2060</v>
      </c>
      <c r="F393" s="10" t="s">
        <v>2061</v>
      </c>
      <c r="G393" s="10" t="s">
        <v>2062</v>
      </c>
      <c r="H393" s="10" t="s">
        <v>2063</v>
      </c>
      <c r="I393" s="10"/>
      <c r="J393" s="11" t="s">
        <v>34</v>
      </c>
      <c r="K393" s="11" t="s">
        <v>35</v>
      </c>
      <c r="L393" s="11">
        <v>150.0</v>
      </c>
      <c r="M393" s="10"/>
      <c r="N393" s="10"/>
      <c r="O393" s="11" t="s">
        <v>37</v>
      </c>
      <c r="P393" s="11" t="s">
        <v>37</v>
      </c>
      <c r="Q393" s="11" t="s">
        <v>37</v>
      </c>
      <c r="R393" s="10"/>
      <c r="S393" s="10"/>
      <c r="T393" s="10" t="s">
        <v>2064</v>
      </c>
      <c r="U393" s="10"/>
      <c r="V393" s="10"/>
      <c r="W393" s="10" t="s">
        <v>412</v>
      </c>
      <c r="X393" s="10"/>
      <c r="Y393" s="10" t="s">
        <v>2065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 t="s">
        <v>2066</v>
      </c>
      <c r="B394" s="10" t="s">
        <v>2050</v>
      </c>
      <c r="C394" s="10" t="s">
        <v>90</v>
      </c>
      <c r="D394" s="12" t="s">
        <v>2067</v>
      </c>
      <c r="E394" s="16">
        <v>5.3425054E7</v>
      </c>
      <c r="F394" s="10" t="s">
        <v>2068</v>
      </c>
      <c r="G394" s="10" t="s">
        <v>2069</v>
      </c>
      <c r="H394" s="10" t="s">
        <v>2070</v>
      </c>
      <c r="I394" s="10"/>
      <c r="J394" s="11" t="s">
        <v>34</v>
      </c>
      <c r="K394" s="11" t="s">
        <v>35</v>
      </c>
      <c r="L394" s="11">
        <v>30.0</v>
      </c>
      <c r="M394" s="10"/>
      <c r="N394" s="10"/>
      <c r="O394" s="10"/>
      <c r="P394" s="10"/>
      <c r="Q394" s="11" t="s">
        <v>37</v>
      </c>
      <c r="R394" s="10"/>
      <c r="S394" s="11" t="s">
        <v>34</v>
      </c>
      <c r="T394" s="10"/>
      <c r="U394" s="10"/>
      <c r="V394" s="10"/>
      <c r="W394" s="10" t="s">
        <v>461</v>
      </c>
      <c r="X394" s="10"/>
      <c r="Y394" s="11" t="s">
        <v>591</v>
      </c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 t="s">
        <v>2071</v>
      </c>
      <c r="B395" s="10" t="s">
        <v>2050</v>
      </c>
      <c r="C395" s="10" t="s">
        <v>90</v>
      </c>
      <c r="D395" s="12" t="s">
        <v>2072</v>
      </c>
      <c r="E395" s="16" t="s">
        <v>2073</v>
      </c>
      <c r="F395" s="10" t="s">
        <v>2074</v>
      </c>
      <c r="G395" s="10" t="s">
        <v>2075</v>
      </c>
      <c r="H395" s="10" t="s">
        <v>2076</v>
      </c>
      <c r="I395" s="10"/>
      <c r="J395" s="11" t="s">
        <v>38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 t="s">
        <v>2077</v>
      </c>
      <c r="B396" s="10" t="s">
        <v>2050</v>
      </c>
      <c r="C396" s="11" t="s">
        <v>718</v>
      </c>
      <c r="D396" s="12" t="s">
        <v>2059</v>
      </c>
      <c r="E396" s="16" t="s">
        <v>2078</v>
      </c>
      <c r="F396" s="10" t="s">
        <v>2061</v>
      </c>
      <c r="G396" s="10" t="s">
        <v>2062</v>
      </c>
      <c r="H396" s="10" t="s">
        <v>2063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 t="s">
        <v>2079</v>
      </c>
      <c r="B397" s="10" t="s">
        <v>2050</v>
      </c>
      <c r="C397" s="11" t="s">
        <v>112</v>
      </c>
      <c r="D397" s="12"/>
      <c r="E397" s="16">
        <v>7973488.0</v>
      </c>
      <c r="F397" s="10" t="s">
        <v>2080</v>
      </c>
      <c r="G397" s="10" t="s">
        <v>2081</v>
      </c>
      <c r="H397" s="10" t="s">
        <v>2082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 t="s">
        <v>2083</v>
      </c>
      <c r="B398" s="10" t="s">
        <v>2050</v>
      </c>
      <c r="C398" s="11" t="s">
        <v>29</v>
      </c>
      <c r="D398" s="12"/>
      <c r="E398" s="16">
        <v>5.8163636E7</v>
      </c>
      <c r="F398" s="10" t="s">
        <v>2084</v>
      </c>
      <c r="G398" s="10" t="s">
        <v>2085</v>
      </c>
      <c r="H398" s="10" t="s">
        <v>2086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 t="s">
        <v>2087</v>
      </c>
      <c r="B399" s="10" t="s">
        <v>2050</v>
      </c>
      <c r="C399" s="11" t="s">
        <v>112</v>
      </c>
      <c r="D399" s="12"/>
      <c r="E399" s="16">
        <v>5.3884391E7</v>
      </c>
      <c r="F399" s="10" t="s">
        <v>2088</v>
      </c>
      <c r="G399" s="10" t="s">
        <v>2089</v>
      </c>
      <c r="H399" s="10" t="s">
        <v>2090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 t="s">
        <v>2091</v>
      </c>
      <c r="B400" s="10" t="s">
        <v>2050</v>
      </c>
      <c r="C400" s="11" t="s">
        <v>29</v>
      </c>
      <c r="D400" s="12"/>
      <c r="E400" s="16">
        <v>5284859.0</v>
      </c>
      <c r="F400" s="10" t="s">
        <v>2092</v>
      </c>
      <c r="G400" s="10" t="s">
        <v>2093</v>
      </c>
      <c r="H400" s="10" t="s">
        <v>2094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 t="s">
        <v>2095</v>
      </c>
      <c r="B401" s="10" t="s">
        <v>2050</v>
      </c>
      <c r="C401" s="11" t="s">
        <v>29</v>
      </c>
      <c r="D401" s="12"/>
      <c r="E401" s="16">
        <v>5284859.0</v>
      </c>
      <c r="F401" s="10" t="s">
        <v>2092</v>
      </c>
      <c r="G401" s="10" t="s">
        <v>2093</v>
      </c>
      <c r="H401" s="10" t="s">
        <v>2096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 t="s">
        <v>2097</v>
      </c>
      <c r="B402" s="10" t="s">
        <v>2050</v>
      </c>
      <c r="C402" s="10" t="s">
        <v>262</v>
      </c>
      <c r="D402" s="12" t="s">
        <v>2098</v>
      </c>
      <c r="E402" s="16">
        <v>5189404.0</v>
      </c>
      <c r="F402" s="10" t="s">
        <v>2099</v>
      </c>
      <c r="G402" s="10" t="s">
        <v>2100</v>
      </c>
      <c r="H402" s="10" t="s">
        <v>2101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 t="s">
        <v>2102</v>
      </c>
      <c r="B403" s="10" t="s">
        <v>2050</v>
      </c>
      <c r="C403" s="10" t="s">
        <v>262</v>
      </c>
      <c r="D403" s="12" t="s">
        <v>2103</v>
      </c>
      <c r="E403" s="16">
        <v>5189404.0</v>
      </c>
      <c r="F403" s="10" t="s">
        <v>2099</v>
      </c>
      <c r="G403" s="10" t="s">
        <v>2100</v>
      </c>
      <c r="H403" s="10" t="s">
        <v>2104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 t="s">
        <v>2105</v>
      </c>
      <c r="B404" s="10" t="s">
        <v>2050</v>
      </c>
      <c r="C404" s="10" t="s">
        <v>262</v>
      </c>
      <c r="D404" s="12" t="s">
        <v>2106</v>
      </c>
      <c r="E404" s="16">
        <v>5.3564803E7</v>
      </c>
      <c r="F404" s="10" t="s">
        <v>2107</v>
      </c>
      <c r="G404" s="10" t="s">
        <v>2108</v>
      </c>
      <c r="H404" s="10" t="s">
        <v>2109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 t="s">
        <v>2110</v>
      </c>
      <c r="B405" s="10" t="s">
        <v>2050</v>
      </c>
      <c r="C405" s="10" t="s">
        <v>262</v>
      </c>
      <c r="D405" s="12" t="s">
        <v>2111</v>
      </c>
      <c r="E405" s="16">
        <v>5.3564803E7</v>
      </c>
      <c r="F405" s="10" t="s">
        <v>2112</v>
      </c>
      <c r="G405" s="10" t="s">
        <v>2108</v>
      </c>
      <c r="H405" s="10" t="s">
        <v>2113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 t="s">
        <v>2114</v>
      </c>
      <c r="B406" s="10" t="s">
        <v>2050</v>
      </c>
      <c r="C406" s="15" t="s">
        <v>112</v>
      </c>
      <c r="D406" s="12"/>
      <c r="E406" s="16">
        <v>7976302.0</v>
      </c>
      <c r="F406" s="10" t="s">
        <v>2115</v>
      </c>
      <c r="G406" s="10" t="s">
        <v>2116</v>
      </c>
      <c r="H406" s="10" t="s">
        <v>2101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 t="s">
        <v>2117</v>
      </c>
      <c r="B407" s="10" t="s">
        <v>2050</v>
      </c>
      <c r="C407" s="15" t="s">
        <v>112</v>
      </c>
      <c r="D407" s="12"/>
      <c r="E407" s="16">
        <v>7923416.0</v>
      </c>
      <c r="F407" s="10" t="s">
        <v>2118</v>
      </c>
      <c r="G407" s="10" t="s">
        <v>2119</v>
      </c>
      <c r="H407" s="10" t="s">
        <v>2120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 t="s">
        <v>2121</v>
      </c>
      <c r="B408" s="10" t="s">
        <v>2050</v>
      </c>
      <c r="C408" s="15" t="s">
        <v>112</v>
      </c>
      <c r="D408" s="12"/>
      <c r="E408" s="16">
        <v>7970229.0</v>
      </c>
      <c r="F408" s="10" t="s">
        <v>2122</v>
      </c>
      <c r="G408" s="10" t="s">
        <v>2123</v>
      </c>
      <c r="H408" s="10" t="s">
        <v>2124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 t="s">
        <v>2125</v>
      </c>
      <c r="B409" s="10" t="s">
        <v>2050</v>
      </c>
      <c r="C409" s="15" t="s">
        <v>112</v>
      </c>
      <c r="D409" s="12"/>
      <c r="E409" s="16">
        <v>7998440.0</v>
      </c>
      <c r="F409" s="10" t="s">
        <v>2126</v>
      </c>
      <c r="G409" s="10" t="s">
        <v>2127</v>
      </c>
      <c r="H409" s="10" t="s">
        <v>2096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 t="s">
        <v>2128</v>
      </c>
      <c r="B410" s="10" t="s">
        <v>2050</v>
      </c>
      <c r="C410" s="15" t="s">
        <v>112</v>
      </c>
      <c r="D410" s="12" t="s">
        <v>2129</v>
      </c>
      <c r="E410" s="16">
        <v>7971338.0</v>
      </c>
      <c r="F410" s="10" t="s">
        <v>2130</v>
      </c>
      <c r="G410" s="10" t="s">
        <v>2131</v>
      </c>
      <c r="H410" s="10" t="s">
        <v>2132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 t="s">
        <v>2133</v>
      </c>
      <c r="B411" s="10" t="s">
        <v>2050</v>
      </c>
      <c r="C411" s="15" t="s">
        <v>112</v>
      </c>
      <c r="D411" s="12"/>
      <c r="E411" s="16">
        <v>7998448.0</v>
      </c>
      <c r="F411" s="10" t="s">
        <v>2134</v>
      </c>
      <c r="G411" s="10" t="s">
        <v>2135</v>
      </c>
      <c r="H411" s="10" t="s">
        <v>2136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 t="s">
        <v>2137</v>
      </c>
      <c r="B412" s="10" t="s">
        <v>2050</v>
      </c>
      <c r="C412" s="10" t="s">
        <v>388</v>
      </c>
      <c r="D412" s="12" t="s">
        <v>2138</v>
      </c>
      <c r="E412" s="16" t="s">
        <v>2139</v>
      </c>
      <c r="F412" s="10" t="s">
        <v>2140</v>
      </c>
      <c r="G412" s="10"/>
      <c r="H412" s="10" t="s">
        <v>2141</v>
      </c>
      <c r="I412" s="10"/>
      <c r="J412" s="11" t="s">
        <v>34</v>
      </c>
      <c r="K412" s="11" t="s">
        <v>35</v>
      </c>
      <c r="L412" s="11">
        <v>390.0</v>
      </c>
      <c r="M412" s="10"/>
      <c r="N412" s="10"/>
      <c r="O412" s="11" t="s">
        <v>74</v>
      </c>
      <c r="P412" s="11" t="s">
        <v>74</v>
      </c>
      <c r="Q412" s="11" t="s">
        <v>74</v>
      </c>
      <c r="R412" s="10"/>
      <c r="S412" s="11" t="s">
        <v>38</v>
      </c>
      <c r="T412" s="10"/>
      <c r="U412" s="10"/>
      <c r="V412" s="10"/>
      <c r="W412" s="11" t="s">
        <v>34</v>
      </c>
      <c r="X412" s="10"/>
      <c r="Y412" s="10" t="s">
        <v>1864</v>
      </c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 t="s">
        <v>2142</v>
      </c>
      <c r="B413" s="10" t="s">
        <v>2050</v>
      </c>
      <c r="C413" s="10" t="s">
        <v>388</v>
      </c>
      <c r="D413" s="12" t="s">
        <v>2138</v>
      </c>
      <c r="E413" s="16" t="s">
        <v>2139</v>
      </c>
      <c r="F413" s="10" t="s">
        <v>2140</v>
      </c>
      <c r="G413" s="10"/>
      <c r="H413" s="10" t="s">
        <v>2143</v>
      </c>
      <c r="I413" s="10"/>
      <c r="J413" s="11" t="s">
        <v>38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 t="s">
        <v>1864</v>
      </c>
      <c r="Z413" s="23" t="s">
        <v>2144</v>
      </c>
      <c r="AA413" s="23"/>
      <c r="AB413" s="23"/>
      <c r="AC413" s="23"/>
      <c r="AD413" s="23"/>
      <c r="AE413" s="23"/>
      <c r="AF413" s="23"/>
      <c r="AG413" s="23"/>
      <c r="AH413" s="23"/>
      <c r="AI413" s="23"/>
    </row>
    <row r="414">
      <c r="A414" s="10" t="s">
        <v>2145</v>
      </c>
      <c r="B414" s="10" t="s">
        <v>2050</v>
      </c>
      <c r="C414" s="10" t="s">
        <v>1662</v>
      </c>
      <c r="D414" s="12"/>
      <c r="E414" s="16">
        <v>7976310.0</v>
      </c>
      <c r="F414" s="10" t="s">
        <v>2146</v>
      </c>
      <c r="G414" s="10"/>
      <c r="H414" s="10" t="s">
        <v>2147</v>
      </c>
      <c r="I414" s="10"/>
      <c r="J414" s="11" t="s">
        <v>38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 t="s">
        <v>1676</v>
      </c>
      <c r="Z414" s="11" t="s">
        <v>2148</v>
      </c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>
      <c r="A415" s="10" t="s">
        <v>2149</v>
      </c>
      <c r="B415" s="10" t="s">
        <v>2050</v>
      </c>
      <c r="C415" s="10" t="s">
        <v>250</v>
      </c>
      <c r="D415" s="12"/>
      <c r="E415" s="16"/>
      <c r="F415" s="10" t="s">
        <v>2150</v>
      </c>
      <c r="G415" s="10"/>
      <c r="H415" s="10" t="s">
        <v>2151</v>
      </c>
      <c r="I415" s="10"/>
      <c r="J415" s="11" t="s">
        <v>38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 t="s">
        <v>1919</v>
      </c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 t="s">
        <v>2152</v>
      </c>
      <c r="B416" s="10" t="s">
        <v>2050</v>
      </c>
      <c r="C416" s="10" t="s">
        <v>1662</v>
      </c>
      <c r="D416" s="12"/>
      <c r="E416" s="16">
        <v>5.3082992E7</v>
      </c>
      <c r="F416" s="10" t="s">
        <v>2153</v>
      </c>
      <c r="G416" s="10"/>
      <c r="H416" s="10" t="s">
        <v>2151</v>
      </c>
      <c r="I416" s="10"/>
      <c r="J416" s="11" t="s">
        <v>34</v>
      </c>
      <c r="K416" s="10"/>
      <c r="L416" s="11">
        <v>600.0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 t="s">
        <v>1919</v>
      </c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 t="s">
        <v>2154</v>
      </c>
      <c r="B417" s="10" t="s">
        <v>2050</v>
      </c>
      <c r="C417" s="10" t="s">
        <v>1662</v>
      </c>
      <c r="D417" s="12"/>
      <c r="E417" s="16">
        <v>7976310.0</v>
      </c>
      <c r="F417" s="10" t="s">
        <v>2146</v>
      </c>
      <c r="G417" s="10"/>
      <c r="H417" s="10" t="s">
        <v>2147</v>
      </c>
      <c r="I417" s="10"/>
      <c r="J417" s="11" t="s">
        <v>38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 t="s">
        <v>1676</v>
      </c>
      <c r="Z417" s="23" t="s">
        <v>1898</v>
      </c>
      <c r="AA417" s="23"/>
      <c r="AB417" s="23"/>
      <c r="AC417" s="23"/>
      <c r="AD417" s="23"/>
      <c r="AE417" s="23"/>
      <c r="AF417" s="23"/>
      <c r="AG417" s="23"/>
      <c r="AH417" s="23"/>
      <c r="AI417" s="23"/>
    </row>
    <row r="418">
      <c r="A418" s="10" t="s">
        <v>2155</v>
      </c>
      <c r="B418" s="10" t="s">
        <v>2050</v>
      </c>
      <c r="C418" s="11" t="s">
        <v>388</v>
      </c>
      <c r="D418" s="12"/>
      <c r="E418" s="16"/>
      <c r="F418" s="10" t="s">
        <v>2150</v>
      </c>
      <c r="G418" s="10"/>
      <c r="H418" s="10" t="s">
        <v>2156</v>
      </c>
      <c r="I418" s="10"/>
      <c r="J418" s="11" t="s">
        <v>34</v>
      </c>
      <c r="K418" s="11" t="s">
        <v>35</v>
      </c>
      <c r="L418" s="11">
        <v>200.0</v>
      </c>
      <c r="M418" s="10"/>
      <c r="N418" s="10"/>
      <c r="O418" s="11" t="s">
        <v>74</v>
      </c>
      <c r="P418" s="11" t="s">
        <v>74</v>
      </c>
      <c r="Q418" s="11" t="s">
        <v>74</v>
      </c>
      <c r="R418" s="10"/>
      <c r="S418" s="10"/>
      <c r="T418" s="10"/>
      <c r="U418" s="10"/>
      <c r="V418" s="10"/>
      <c r="W418" s="10"/>
      <c r="X418" s="10"/>
      <c r="Y418" s="10" t="s">
        <v>1676</v>
      </c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 t="s">
        <v>2157</v>
      </c>
      <c r="B419" s="10" t="s">
        <v>2050</v>
      </c>
      <c r="C419" s="10" t="s">
        <v>1662</v>
      </c>
      <c r="D419" s="12"/>
      <c r="E419" s="16">
        <v>5111840.0</v>
      </c>
      <c r="F419" s="10" t="s">
        <v>2158</v>
      </c>
      <c r="G419" s="10"/>
      <c r="H419" s="10" t="s">
        <v>2159</v>
      </c>
      <c r="I419" s="10"/>
      <c r="J419" s="11" t="s">
        <v>34</v>
      </c>
      <c r="K419" s="10"/>
      <c r="L419" s="11">
        <v>20.0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 t="s">
        <v>1676</v>
      </c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 t="s">
        <v>2160</v>
      </c>
      <c r="B420" s="10" t="s">
        <v>2050</v>
      </c>
      <c r="C420" s="10" t="s">
        <v>1662</v>
      </c>
      <c r="D420" s="12"/>
      <c r="E420" s="16"/>
      <c r="F420" s="10" t="s">
        <v>2150</v>
      </c>
      <c r="G420" s="10"/>
      <c r="H420" s="10" t="s">
        <v>2159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 t="s">
        <v>2161</v>
      </c>
      <c r="B421" s="10" t="s">
        <v>2050</v>
      </c>
      <c r="C421" s="10" t="s">
        <v>1662</v>
      </c>
      <c r="D421" s="12"/>
      <c r="E421" s="1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 t="s">
        <v>2162</v>
      </c>
      <c r="B422" s="10" t="s">
        <v>2050</v>
      </c>
      <c r="C422" s="30" t="s">
        <v>250</v>
      </c>
      <c r="D422" s="12"/>
      <c r="E422" s="16">
        <v>796310.0</v>
      </c>
      <c r="F422" s="10" t="s">
        <v>2146</v>
      </c>
      <c r="G422" s="10"/>
      <c r="H422" s="10" t="s">
        <v>2163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 t="s">
        <v>1683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 t="s">
        <v>2164</v>
      </c>
      <c r="B423" s="10" t="s">
        <v>2050</v>
      </c>
      <c r="C423" s="10" t="s">
        <v>1662</v>
      </c>
      <c r="D423" s="12"/>
      <c r="E423" s="16"/>
      <c r="F423" s="10" t="s">
        <v>2150</v>
      </c>
      <c r="G423" s="10"/>
      <c r="H423" s="10" t="s">
        <v>2165</v>
      </c>
      <c r="I423" s="10"/>
      <c r="J423" s="11" t="s">
        <v>34</v>
      </c>
      <c r="K423" s="11" t="s">
        <v>35</v>
      </c>
      <c r="L423" s="11">
        <v>240.0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 t="s">
        <v>1683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 t="s">
        <v>2166</v>
      </c>
      <c r="B424" s="10" t="s">
        <v>2050</v>
      </c>
      <c r="C424" s="10" t="s">
        <v>1662</v>
      </c>
      <c r="D424" s="12"/>
      <c r="E424" s="16"/>
      <c r="F424" s="10" t="s">
        <v>2167</v>
      </c>
      <c r="G424" s="10"/>
      <c r="H424" s="10" t="s">
        <v>2168</v>
      </c>
      <c r="I424" s="10"/>
      <c r="J424" s="11" t="s">
        <v>38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 t="s">
        <v>1676</v>
      </c>
      <c r="Z424" s="11" t="s">
        <v>2148</v>
      </c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>
      <c r="A425" s="10" t="s">
        <v>2169</v>
      </c>
      <c r="B425" s="10" t="s">
        <v>2050</v>
      </c>
      <c r="C425" s="10" t="s">
        <v>1662</v>
      </c>
      <c r="D425" s="12"/>
      <c r="E425" s="16">
        <v>5.3733629E7</v>
      </c>
      <c r="F425" s="10" t="s">
        <v>2170</v>
      </c>
      <c r="G425" s="10"/>
      <c r="H425" s="10" t="s">
        <v>2171</v>
      </c>
      <c r="I425" s="10"/>
      <c r="J425" s="11" t="s">
        <v>38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 t="s">
        <v>1676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 t="s">
        <v>2172</v>
      </c>
      <c r="B426" s="10" t="s">
        <v>2050</v>
      </c>
      <c r="C426" s="15" t="s">
        <v>211</v>
      </c>
      <c r="D426" s="12"/>
      <c r="E426" s="16">
        <v>5018593.0</v>
      </c>
      <c r="F426" s="10" t="s">
        <v>2173</v>
      </c>
      <c r="G426" s="10" t="s">
        <v>2174</v>
      </c>
      <c r="H426" s="10" t="s">
        <v>2175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 t="s">
        <v>2176</v>
      </c>
      <c r="B427" s="10" t="s">
        <v>2177</v>
      </c>
      <c r="C427" s="15" t="s">
        <v>112</v>
      </c>
      <c r="D427" s="12"/>
      <c r="E427" s="16" t="s">
        <v>2178</v>
      </c>
      <c r="F427" s="10" t="s">
        <v>2179</v>
      </c>
      <c r="G427" s="10" t="s">
        <v>2180</v>
      </c>
      <c r="H427" s="10" t="s">
        <v>2181</v>
      </c>
      <c r="I427" s="10"/>
      <c r="J427" s="11" t="s">
        <v>38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 t="s">
        <v>2182</v>
      </c>
      <c r="B428" s="10" t="s">
        <v>2177</v>
      </c>
      <c r="C428" s="15" t="s">
        <v>112</v>
      </c>
      <c r="D428" s="12"/>
      <c r="E428" s="16" t="s">
        <v>2183</v>
      </c>
      <c r="F428" s="10" t="s">
        <v>2184</v>
      </c>
      <c r="G428" s="10" t="s">
        <v>2185</v>
      </c>
      <c r="H428" s="10" t="s">
        <v>2186</v>
      </c>
      <c r="I428" s="10"/>
      <c r="J428" s="11" t="s">
        <v>38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 t="s">
        <v>2187</v>
      </c>
      <c r="B429" s="10" t="s">
        <v>2177</v>
      </c>
      <c r="C429" s="15" t="s">
        <v>112</v>
      </c>
      <c r="D429" s="12"/>
      <c r="E429" s="16" t="s">
        <v>2188</v>
      </c>
      <c r="F429" s="10" t="s">
        <v>2189</v>
      </c>
      <c r="G429" s="10" t="s">
        <v>2190</v>
      </c>
      <c r="H429" s="10" t="s">
        <v>2191</v>
      </c>
      <c r="I429" s="10"/>
      <c r="J429" s="11" t="s">
        <v>38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 t="s">
        <v>2192</v>
      </c>
      <c r="B430" s="10" t="s">
        <v>2177</v>
      </c>
      <c r="C430" s="15" t="s">
        <v>112</v>
      </c>
      <c r="D430" s="12"/>
      <c r="E430" s="16" t="s">
        <v>2193</v>
      </c>
      <c r="F430" s="10" t="s">
        <v>2194</v>
      </c>
      <c r="G430" s="10" t="s">
        <v>2195</v>
      </c>
      <c r="H430" s="10" t="s">
        <v>2196</v>
      </c>
      <c r="I430" s="10"/>
      <c r="J430" s="11" t="s">
        <v>38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 t="s">
        <v>2197</v>
      </c>
      <c r="B431" s="10" t="s">
        <v>2177</v>
      </c>
      <c r="C431" s="15" t="s">
        <v>112</v>
      </c>
      <c r="D431" s="12"/>
      <c r="E431" s="16" t="s">
        <v>2198</v>
      </c>
      <c r="F431" s="10" t="s">
        <v>2199</v>
      </c>
      <c r="G431" s="10" t="s">
        <v>2200</v>
      </c>
      <c r="H431" s="10" t="s">
        <v>2201</v>
      </c>
      <c r="I431" s="10"/>
      <c r="J431" s="11" t="s">
        <v>38</v>
      </c>
      <c r="K431" s="10"/>
      <c r="L431" s="10"/>
      <c r="M431" s="10"/>
      <c r="N431" s="22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 t="s">
        <v>2202</v>
      </c>
      <c r="B432" s="10" t="s">
        <v>2177</v>
      </c>
      <c r="C432" s="15" t="s">
        <v>112</v>
      </c>
      <c r="D432" s="12"/>
      <c r="E432" s="16" t="s">
        <v>2203</v>
      </c>
      <c r="F432" s="10" t="s">
        <v>2204</v>
      </c>
      <c r="G432" s="10"/>
      <c r="H432" s="10" t="s">
        <v>2205</v>
      </c>
      <c r="I432" s="10"/>
      <c r="J432" s="11" t="s">
        <v>38</v>
      </c>
      <c r="K432" s="10"/>
      <c r="L432" s="10"/>
      <c r="M432" s="10"/>
      <c r="N432" s="22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 t="s">
        <v>2206</v>
      </c>
      <c r="B433" s="10" t="s">
        <v>2177</v>
      </c>
      <c r="C433" s="15" t="s">
        <v>211</v>
      </c>
      <c r="D433" s="12" t="s">
        <v>2207</v>
      </c>
      <c r="E433" s="16">
        <v>5118271.0</v>
      </c>
      <c r="F433" s="10" t="s">
        <v>2208</v>
      </c>
      <c r="G433" s="10" t="s">
        <v>2209</v>
      </c>
      <c r="H433" s="10" t="s">
        <v>2210</v>
      </c>
      <c r="I433" s="10"/>
      <c r="J433" s="11" t="s">
        <v>34</v>
      </c>
      <c r="K433" s="11" t="s">
        <v>35</v>
      </c>
      <c r="L433" s="10"/>
      <c r="M433" s="10"/>
      <c r="N433" s="22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 t="s">
        <v>2211</v>
      </c>
      <c r="B434" s="10" t="s">
        <v>2177</v>
      </c>
      <c r="C434" s="15" t="s">
        <v>211</v>
      </c>
      <c r="D434" s="12" t="s">
        <v>2212</v>
      </c>
      <c r="E434" s="16" t="s">
        <v>2213</v>
      </c>
      <c r="F434" s="10" t="s">
        <v>2214</v>
      </c>
      <c r="G434" s="10" t="s">
        <v>2215</v>
      </c>
      <c r="H434" s="10" t="s">
        <v>2216</v>
      </c>
      <c r="I434" s="10"/>
      <c r="J434" s="11" t="s">
        <v>34</v>
      </c>
      <c r="K434" s="11" t="s">
        <v>35</v>
      </c>
      <c r="L434" s="10"/>
      <c r="M434" s="10"/>
      <c r="N434" s="22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 t="s">
        <v>2217</v>
      </c>
      <c r="B435" s="10" t="s">
        <v>2177</v>
      </c>
      <c r="C435" s="10" t="s">
        <v>262</v>
      </c>
      <c r="D435" s="12" t="s">
        <v>2218</v>
      </c>
      <c r="E435" s="16">
        <v>5.3477199E7</v>
      </c>
      <c r="F435" s="10" t="s">
        <v>2219</v>
      </c>
      <c r="G435" s="10" t="s">
        <v>2220</v>
      </c>
      <c r="H435" s="10" t="s">
        <v>2221</v>
      </c>
      <c r="I435" s="10"/>
      <c r="J435" s="11" t="s">
        <v>38</v>
      </c>
      <c r="K435" s="10"/>
      <c r="L435" s="10"/>
      <c r="M435" s="10"/>
      <c r="N435" s="22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 t="s">
        <v>2222</v>
      </c>
      <c r="B436" s="10" t="s">
        <v>2177</v>
      </c>
      <c r="C436" s="10" t="s">
        <v>262</v>
      </c>
      <c r="D436" s="12" t="s">
        <v>2218</v>
      </c>
      <c r="E436" s="16">
        <v>5.6657307E7</v>
      </c>
      <c r="F436" s="10" t="s">
        <v>2223</v>
      </c>
      <c r="G436" s="10" t="s">
        <v>2224</v>
      </c>
      <c r="H436" s="10" t="s">
        <v>2225</v>
      </c>
      <c r="I436" s="10"/>
      <c r="J436" s="11" t="s">
        <v>38</v>
      </c>
      <c r="K436" s="10"/>
      <c r="L436" s="10"/>
      <c r="M436" s="10"/>
      <c r="N436" s="22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 t="s">
        <v>2226</v>
      </c>
      <c r="B437" s="10" t="s">
        <v>2177</v>
      </c>
      <c r="C437" s="11" t="s">
        <v>29</v>
      </c>
      <c r="D437" s="12" t="s">
        <v>2227</v>
      </c>
      <c r="E437" s="16"/>
      <c r="F437" s="10" t="s">
        <v>2228</v>
      </c>
      <c r="G437" s="10"/>
      <c r="H437" s="10" t="s">
        <v>2229</v>
      </c>
      <c r="I437" s="10"/>
      <c r="J437" s="11" t="s">
        <v>34</v>
      </c>
      <c r="K437" s="11" t="s">
        <v>35</v>
      </c>
      <c r="L437" s="10"/>
      <c r="M437" s="10"/>
      <c r="N437" s="22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 t="s">
        <v>2230</v>
      </c>
      <c r="B438" s="10" t="s">
        <v>2177</v>
      </c>
      <c r="C438" s="11" t="s">
        <v>29</v>
      </c>
      <c r="D438" s="12" t="s">
        <v>2231</v>
      </c>
      <c r="E438" s="16" t="s">
        <v>2232</v>
      </c>
      <c r="F438" s="10" t="s">
        <v>2233</v>
      </c>
      <c r="G438" s="10"/>
      <c r="H438" s="10" t="s">
        <v>2234</v>
      </c>
      <c r="I438" s="10"/>
      <c r="J438" s="11" t="s">
        <v>34</v>
      </c>
      <c r="K438" s="11" t="s">
        <v>35</v>
      </c>
      <c r="L438" s="10"/>
      <c r="M438" s="10"/>
      <c r="N438" s="22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 t="s">
        <v>412</v>
      </c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 t="s">
        <v>2235</v>
      </c>
      <c r="B439" s="10" t="s">
        <v>2177</v>
      </c>
      <c r="C439" s="11" t="s">
        <v>29</v>
      </c>
      <c r="D439" s="12" t="s">
        <v>2236</v>
      </c>
      <c r="E439" s="16" t="s">
        <v>2237</v>
      </c>
      <c r="F439" s="10" t="s">
        <v>2238</v>
      </c>
      <c r="G439" s="10" t="s">
        <v>2239</v>
      </c>
      <c r="H439" s="10" t="s">
        <v>2205</v>
      </c>
      <c r="I439" s="10"/>
      <c r="J439" s="11" t="s">
        <v>34</v>
      </c>
      <c r="K439" s="11" t="s">
        <v>543</v>
      </c>
      <c r="L439" s="10"/>
      <c r="M439" s="10"/>
      <c r="N439" s="22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 t="s">
        <v>2240</v>
      </c>
      <c r="B440" s="10" t="s">
        <v>2177</v>
      </c>
      <c r="C440" s="15" t="s">
        <v>512</v>
      </c>
      <c r="D440" s="12" t="s">
        <v>2241</v>
      </c>
      <c r="E440" s="16" t="s">
        <v>2242</v>
      </c>
      <c r="F440" s="10" t="s">
        <v>2243</v>
      </c>
      <c r="G440" s="10" t="s">
        <v>2244</v>
      </c>
      <c r="H440" s="10" t="s">
        <v>2245</v>
      </c>
      <c r="I440" s="10"/>
      <c r="J440" s="11" t="s">
        <v>34</v>
      </c>
      <c r="K440" s="11" t="s">
        <v>35</v>
      </c>
      <c r="L440" s="10"/>
      <c r="M440" s="10"/>
      <c r="N440" s="22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 t="s">
        <v>2246</v>
      </c>
      <c r="B441" s="10" t="s">
        <v>2177</v>
      </c>
      <c r="C441" s="15" t="s">
        <v>512</v>
      </c>
      <c r="D441" s="12" t="s">
        <v>2247</v>
      </c>
      <c r="E441" s="16" t="s">
        <v>2242</v>
      </c>
      <c r="F441" s="10" t="s">
        <v>2243</v>
      </c>
      <c r="G441" s="10" t="s">
        <v>2244</v>
      </c>
      <c r="H441" s="10" t="s">
        <v>2248</v>
      </c>
      <c r="I441" s="10"/>
      <c r="J441" s="11" t="s">
        <v>34</v>
      </c>
      <c r="K441" s="11" t="s">
        <v>35</v>
      </c>
      <c r="L441" s="10"/>
      <c r="M441" s="10"/>
      <c r="N441" s="22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 t="s">
        <v>2249</v>
      </c>
      <c r="B442" s="10" t="s">
        <v>2177</v>
      </c>
      <c r="C442" s="11" t="s">
        <v>29</v>
      </c>
      <c r="D442" s="12" t="s">
        <v>2250</v>
      </c>
      <c r="E442" s="16" t="s">
        <v>2251</v>
      </c>
      <c r="F442" s="10" t="s">
        <v>2252</v>
      </c>
      <c r="G442" s="10"/>
      <c r="H442" s="10" t="s">
        <v>2253</v>
      </c>
      <c r="I442" s="10"/>
      <c r="J442" s="11" t="s">
        <v>34</v>
      </c>
      <c r="K442" s="11" t="s">
        <v>35</v>
      </c>
      <c r="L442" s="10"/>
      <c r="M442" s="10"/>
      <c r="N442" s="22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 t="s">
        <v>2254</v>
      </c>
      <c r="B443" s="10" t="s">
        <v>2177</v>
      </c>
      <c r="C443" s="10" t="s">
        <v>29</v>
      </c>
      <c r="D443" s="12"/>
      <c r="E443" s="16"/>
      <c r="F443" s="10" t="s">
        <v>2255</v>
      </c>
      <c r="G443" s="10" t="s">
        <v>2256</v>
      </c>
      <c r="H443" s="22"/>
      <c r="I443" s="22"/>
      <c r="J443" s="11" t="s">
        <v>34</v>
      </c>
      <c r="K443" s="11" t="s">
        <v>543</v>
      </c>
      <c r="L443" s="11">
        <v>200.0</v>
      </c>
      <c r="M443" s="22"/>
      <c r="N443" s="11">
        <v>80.0</v>
      </c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</row>
    <row r="444">
      <c r="A444" s="10" t="s">
        <v>2257</v>
      </c>
      <c r="B444" s="10" t="s">
        <v>2177</v>
      </c>
      <c r="C444" s="11" t="s">
        <v>29</v>
      </c>
      <c r="D444" s="12"/>
      <c r="E444" s="16"/>
      <c r="F444" s="10" t="s">
        <v>2258</v>
      </c>
      <c r="G444" s="10" t="s">
        <v>2259</v>
      </c>
      <c r="H444" s="22"/>
      <c r="I444" s="22"/>
      <c r="J444" s="11" t="s">
        <v>34</v>
      </c>
      <c r="K444" s="11" t="s">
        <v>35</v>
      </c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</row>
    <row r="445">
      <c r="A445" s="10" t="s">
        <v>2260</v>
      </c>
      <c r="B445" s="10" t="s">
        <v>2177</v>
      </c>
      <c r="C445" s="11" t="s">
        <v>29</v>
      </c>
      <c r="D445" s="12"/>
      <c r="E445" s="16"/>
      <c r="F445" s="10" t="s">
        <v>2261</v>
      </c>
      <c r="G445" s="10" t="s">
        <v>2262</v>
      </c>
      <c r="H445" s="22"/>
      <c r="I445" s="22"/>
      <c r="J445" s="11" t="s">
        <v>34</v>
      </c>
      <c r="K445" s="11" t="s">
        <v>35</v>
      </c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</row>
    <row r="446">
      <c r="A446" s="10" t="s">
        <v>2263</v>
      </c>
      <c r="B446" s="10" t="s">
        <v>2264</v>
      </c>
      <c r="C446" s="10" t="s">
        <v>90</v>
      </c>
      <c r="D446" s="12" t="s">
        <v>2265</v>
      </c>
      <c r="E446" s="16" t="s">
        <v>2266</v>
      </c>
      <c r="F446" s="10" t="s">
        <v>2267</v>
      </c>
      <c r="G446" s="10"/>
      <c r="H446" s="10" t="s">
        <v>2268</v>
      </c>
      <c r="I446" s="10"/>
      <c r="J446" s="11" t="s">
        <v>38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 t="s">
        <v>412</v>
      </c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 t="s">
        <v>2269</v>
      </c>
      <c r="B447" s="10" t="s">
        <v>2264</v>
      </c>
      <c r="C447" s="10" t="s">
        <v>90</v>
      </c>
      <c r="D447" s="12" t="s">
        <v>2265</v>
      </c>
      <c r="E447" s="16" t="s">
        <v>2270</v>
      </c>
      <c r="F447" s="10" t="s">
        <v>2271</v>
      </c>
      <c r="G447" s="10"/>
      <c r="H447" s="10" t="s">
        <v>2272</v>
      </c>
      <c r="I447" s="10"/>
      <c r="J447" s="11" t="s">
        <v>38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 t="s">
        <v>412</v>
      </c>
      <c r="W447" s="10"/>
      <c r="X447" s="10"/>
      <c r="Y447" s="10"/>
      <c r="Z447" s="10" t="s">
        <v>412</v>
      </c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 t="s">
        <v>2273</v>
      </c>
      <c r="B448" s="10" t="s">
        <v>2264</v>
      </c>
      <c r="C448" s="10" t="s">
        <v>90</v>
      </c>
      <c r="D448" s="12" t="s">
        <v>2265</v>
      </c>
      <c r="E448" s="16" t="s">
        <v>2274</v>
      </c>
      <c r="F448" s="10" t="s">
        <v>2275</v>
      </c>
      <c r="G448" s="10"/>
      <c r="H448" s="10" t="s">
        <v>2276</v>
      </c>
      <c r="I448" s="10"/>
      <c r="J448" s="11" t="s">
        <v>38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 t="s">
        <v>412</v>
      </c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 t="s">
        <v>2277</v>
      </c>
      <c r="B449" s="10" t="s">
        <v>2264</v>
      </c>
      <c r="C449" s="10" t="s">
        <v>90</v>
      </c>
      <c r="D449" s="12" t="s">
        <v>2265</v>
      </c>
      <c r="E449" s="16" t="s">
        <v>2278</v>
      </c>
      <c r="F449" s="10" t="s">
        <v>2279</v>
      </c>
      <c r="G449" s="10"/>
      <c r="H449" s="10" t="s">
        <v>2280</v>
      </c>
      <c r="I449" s="10"/>
      <c r="J449" s="11" t="s">
        <v>38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 t="s">
        <v>412</v>
      </c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 t="s">
        <v>2281</v>
      </c>
      <c r="B450" s="10" t="s">
        <v>2264</v>
      </c>
      <c r="C450" s="10" t="s">
        <v>90</v>
      </c>
      <c r="D450" s="12" t="s">
        <v>2265</v>
      </c>
      <c r="E450" s="16" t="s">
        <v>2282</v>
      </c>
      <c r="F450" s="10" t="s">
        <v>2283</v>
      </c>
      <c r="G450" s="10"/>
      <c r="H450" s="10" t="s">
        <v>2284</v>
      </c>
      <c r="I450" s="10">
        <v>64.0</v>
      </c>
      <c r="J450" s="11" t="s">
        <v>38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 t="s">
        <v>412</v>
      </c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 t="s">
        <v>2285</v>
      </c>
      <c r="B451" s="10" t="s">
        <v>2264</v>
      </c>
      <c r="C451" s="15" t="s">
        <v>400</v>
      </c>
      <c r="D451" s="12" t="s">
        <v>2286</v>
      </c>
      <c r="E451" s="16" t="s">
        <v>2287</v>
      </c>
      <c r="F451" s="10" t="s">
        <v>2288</v>
      </c>
      <c r="G451" s="10"/>
      <c r="H451" s="10" t="s">
        <v>2289</v>
      </c>
      <c r="I451" s="10"/>
      <c r="J451" s="11" t="s">
        <v>34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 t="s">
        <v>2290</v>
      </c>
      <c r="B452" s="10" t="s">
        <v>2264</v>
      </c>
      <c r="C452" s="15" t="s">
        <v>112</v>
      </c>
      <c r="D452" s="12"/>
      <c r="E452" s="16" t="s">
        <v>2291</v>
      </c>
      <c r="F452" s="10" t="s">
        <v>2292</v>
      </c>
      <c r="G452" s="10" t="s">
        <v>2293</v>
      </c>
      <c r="H452" s="10" t="s">
        <v>2294</v>
      </c>
      <c r="I452" s="10"/>
      <c r="J452" s="11" t="s">
        <v>38</v>
      </c>
      <c r="K452" s="10"/>
      <c r="L452" s="10"/>
      <c r="M452" s="10"/>
      <c r="N452" s="22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 t="s">
        <v>2295</v>
      </c>
      <c r="B453" s="10" t="s">
        <v>2264</v>
      </c>
      <c r="C453" s="15" t="s">
        <v>112</v>
      </c>
      <c r="D453" s="12"/>
      <c r="E453" s="16" t="s">
        <v>2296</v>
      </c>
      <c r="F453" s="10" t="s">
        <v>2297</v>
      </c>
      <c r="G453" s="10" t="s">
        <v>2298</v>
      </c>
      <c r="H453" s="10" t="s">
        <v>2299</v>
      </c>
      <c r="I453" s="10"/>
      <c r="J453" s="11" t="s">
        <v>38</v>
      </c>
      <c r="K453" s="10"/>
      <c r="L453" s="10"/>
      <c r="M453" s="10"/>
      <c r="N453" s="22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 t="s">
        <v>2300</v>
      </c>
      <c r="B454" s="10" t="s">
        <v>2301</v>
      </c>
      <c r="C454" s="15" t="s">
        <v>112</v>
      </c>
      <c r="D454" s="12"/>
      <c r="E454" s="16" t="s">
        <v>2302</v>
      </c>
      <c r="F454" s="10" t="s">
        <v>2303</v>
      </c>
      <c r="G454" s="10" t="s">
        <v>2304</v>
      </c>
      <c r="H454" s="10" t="s">
        <v>2305</v>
      </c>
      <c r="I454" s="10"/>
      <c r="J454" s="11" t="s">
        <v>38</v>
      </c>
      <c r="K454" s="10"/>
      <c r="L454" s="10"/>
      <c r="M454" s="10"/>
      <c r="N454" s="22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 t="s">
        <v>2306</v>
      </c>
      <c r="B455" s="10" t="s">
        <v>2301</v>
      </c>
      <c r="C455" s="15" t="s">
        <v>112</v>
      </c>
      <c r="D455" s="12"/>
      <c r="E455" s="16" t="s">
        <v>2307</v>
      </c>
      <c r="F455" s="10" t="s">
        <v>2308</v>
      </c>
      <c r="G455" s="10" t="s">
        <v>2309</v>
      </c>
      <c r="H455" s="10" t="s">
        <v>2310</v>
      </c>
      <c r="I455" s="10"/>
      <c r="J455" s="11" t="s">
        <v>38</v>
      </c>
      <c r="K455" s="10"/>
      <c r="L455" s="10"/>
      <c r="M455" s="10"/>
      <c r="N455" s="22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 t="s">
        <v>2311</v>
      </c>
      <c r="B456" s="10" t="s">
        <v>2301</v>
      </c>
      <c r="C456" s="15" t="s">
        <v>112</v>
      </c>
      <c r="D456" s="12"/>
      <c r="E456" s="16" t="s">
        <v>2312</v>
      </c>
      <c r="F456" s="10" t="s">
        <v>2313</v>
      </c>
      <c r="G456" s="10" t="s">
        <v>2314</v>
      </c>
      <c r="H456" s="10" t="s">
        <v>2315</v>
      </c>
      <c r="I456" s="10"/>
      <c r="J456" s="10"/>
      <c r="K456" s="10"/>
      <c r="L456" s="10"/>
      <c r="M456" s="10"/>
      <c r="N456" s="22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 t="s">
        <v>2316</v>
      </c>
      <c r="B457" s="10" t="s">
        <v>2301</v>
      </c>
      <c r="C457" s="10" t="s">
        <v>262</v>
      </c>
      <c r="D457" s="12" t="s">
        <v>2317</v>
      </c>
      <c r="E457" s="16" t="s">
        <v>2318</v>
      </c>
      <c r="F457" s="10" t="s">
        <v>2319</v>
      </c>
      <c r="G457" s="10" t="s">
        <v>2320</v>
      </c>
      <c r="H457" s="10" t="s">
        <v>2321</v>
      </c>
      <c r="I457" s="10"/>
      <c r="J457" s="10"/>
      <c r="K457" s="10"/>
      <c r="L457" s="10"/>
      <c r="M457" s="10"/>
      <c r="N457" s="22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 t="s">
        <v>2322</v>
      </c>
      <c r="B458" s="10" t="s">
        <v>2301</v>
      </c>
      <c r="C458" s="10" t="s">
        <v>262</v>
      </c>
      <c r="D458" s="12" t="s">
        <v>2317</v>
      </c>
      <c r="E458" s="16"/>
      <c r="F458" s="10" t="s">
        <v>2323</v>
      </c>
      <c r="G458" s="10" t="s">
        <v>2324</v>
      </c>
      <c r="H458" s="10"/>
      <c r="I458" s="10"/>
      <c r="J458" s="10"/>
      <c r="K458" s="10"/>
      <c r="L458" s="10"/>
      <c r="M458" s="10"/>
      <c r="N458" s="22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 t="s">
        <v>2325</v>
      </c>
      <c r="B459" s="10" t="s">
        <v>2301</v>
      </c>
      <c r="C459" s="10" t="s">
        <v>262</v>
      </c>
      <c r="D459" s="12" t="s">
        <v>2317</v>
      </c>
      <c r="E459" s="16"/>
      <c r="F459" s="10" t="s">
        <v>2326</v>
      </c>
      <c r="G459" s="10" t="s">
        <v>2327</v>
      </c>
      <c r="H459" s="10"/>
      <c r="I459" s="10"/>
      <c r="J459" s="10"/>
      <c r="K459" s="10"/>
      <c r="L459" s="10"/>
      <c r="M459" s="10"/>
      <c r="N459" s="22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 t="s">
        <v>2328</v>
      </c>
      <c r="B460" s="10" t="s">
        <v>2264</v>
      </c>
      <c r="C460" s="10" t="s">
        <v>262</v>
      </c>
      <c r="D460" s="12" t="s">
        <v>2317</v>
      </c>
      <c r="E460" s="16"/>
      <c r="F460" s="10" t="s">
        <v>2329</v>
      </c>
      <c r="G460" s="10" t="s">
        <v>2330</v>
      </c>
      <c r="H460" s="10"/>
      <c r="I460" s="10"/>
      <c r="J460" s="10"/>
      <c r="K460" s="10"/>
      <c r="L460" s="10"/>
      <c r="M460" s="10"/>
      <c r="N460" s="22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 t="s">
        <v>2331</v>
      </c>
      <c r="B461" s="10" t="s">
        <v>2264</v>
      </c>
      <c r="C461" s="15" t="s">
        <v>211</v>
      </c>
      <c r="D461" s="12" t="s">
        <v>2332</v>
      </c>
      <c r="E461" s="16" t="s">
        <v>2333</v>
      </c>
      <c r="F461" s="10" t="s">
        <v>2334</v>
      </c>
      <c r="G461" s="10" t="s">
        <v>2335</v>
      </c>
      <c r="H461" s="10" t="s">
        <v>2336</v>
      </c>
      <c r="I461" s="10"/>
      <c r="J461" s="10"/>
      <c r="K461" s="10"/>
      <c r="L461" s="10"/>
      <c r="M461" s="10"/>
      <c r="N461" s="22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 t="s">
        <v>2337</v>
      </c>
      <c r="B462" s="10" t="s">
        <v>2264</v>
      </c>
      <c r="C462" s="15" t="s">
        <v>211</v>
      </c>
      <c r="D462" s="12" t="s">
        <v>2338</v>
      </c>
      <c r="E462" s="16" t="s">
        <v>2339</v>
      </c>
      <c r="F462" s="10"/>
      <c r="G462" s="10" t="s">
        <v>2340</v>
      </c>
      <c r="H462" s="10" t="s">
        <v>2341</v>
      </c>
      <c r="I462" s="10"/>
      <c r="J462" s="10"/>
      <c r="K462" s="10"/>
      <c r="L462" s="10"/>
      <c r="M462" s="10"/>
      <c r="N462" s="22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 t="s">
        <v>2342</v>
      </c>
      <c r="B463" s="10" t="s">
        <v>2264</v>
      </c>
      <c r="C463" s="15" t="s">
        <v>211</v>
      </c>
      <c r="D463" s="12" t="s">
        <v>2343</v>
      </c>
      <c r="E463" s="16" t="s">
        <v>2344</v>
      </c>
      <c r="F463" s="10"/>
      <c r="G463" s="10" t="s">
        <v>2345</v>
      </c>
      <c r="H463" s="10" t="s">
        <v>2346</v>
      </c>
      <c r="I463" s="10"/>
      <c r="J463" s="10"/>
      <c r="K463" s="10"/>
      <c r="L463" s="10"/>
      <c r="M463" s="10"/>
      <c r="N463" s="22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 t="s">
        <v>2347</v>
      </c>
      <c r="B464" s="10" t="s">
        <v>2264</v>
      </c>
      <c r="C464" s="15" t="s">
        <v>211</v>
      </c>
      <c r="D464" s="12" t="s">
        <v>2348</v>
      </c>
      <c r="E464" s="16" t="s">
        <v>2349</v>
      </c>
      <c r="F464" s="10"/>
      <c r="G464" s="10" t="s">
        <v>2350</v>
      </c>
      <c r="H464" s="10" t="s">
        <v>2351</v>
      </c>
      <c r="I464" s="10"/>
      <c r="J464" s="10"/>
      <c r="K464" s="10"/>
      <c r="L464" s="10"/>
      <c r="M464" s="10"/>
      <c r="N464" s="22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 t="s">
        <v>2352</v>
      </c>
      <c r="B465" s="10" t="s">
        <v>2264</v>
      </c>
      <c r="C465" s="15" t="s">
        <v>211</v>
      </c>
      <c r="D465" s="12" t="s">
        <v>2353</v>
      </c>
      <c r="E465" s="16" t="s">
        <v>2354</v>
      </c>
      <c r="F465" s="10"/>
      <c r="G465" s="10" t="s">
        <v>2355</v>
      </c>
      <c r="H465" s="10" t="s">
        <v>2336</v>
      </c>
      <c r="I465" s="10"/>
      <c r="J465" s="10"/>
      <c r="K465" s="10"/>
      <c r="L465" s="10"/>
      <c r="M465" s="10"/>
      <c r="N465" s="22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 t="s">
        <v>2356</v>
      </c>
      <c r="B466" s="10" t="s">
        <v>2264</v>
      </c>
      <c r="C466" s="15" t="s">
        <v>211</v>
      </c>
      <c r="D466" s="12" t="s">
        <v>2357</v>
      </c>
      <c r="E466" s="16" t="s">
        <v>2358</v>
      </c>
      <c r="F466" s="10"/>
      <c r="G466" s="10" t="s">
        <v>2359</v>
      </c>
      <c r="H466" s="10" t="s">
        <v>2360</v>
      </c>
      <c r="I466" s="10"/>
      <c r="J466" s="10"/>
      <c r="K466" s="10"/>
      <c r="L466" s="10"/>
      <c r="M466" s="10"/>
      <c r="N466" s="22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 t="s">
        <v>2361</v>
      </c>
      <c r="B467" s="10" t="s">
        <v>2264</v>
      </c>
      <c r="C467" s="15" t="s">
        <v>512</v>
      </c>
      <c r="D467" s="12" t="s">
        <v>2362</v>
      </c>
      <c r="E467" s="16">
        <v>5.3038295E7</v>
      </c>
      <c r="F467" s="10" t="s">
        <v>2363</v>
      </c>
      <c r="G467" s="10" t="s">
        <v>2364</v>
      </c>
      <c r="H467" s="10" t="s">
        <v>2365</v>
      </c>
      <c r="I467" s="10"/>
      <c r="J467" s="10"/>
      <c r="K467" s="10"/>
      <c r="L467" s="10"/>
      <c r="M467" s="10"/>
      <c r="N467" s="22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 t="s">
        <v>2366</v>
      </c>
      <c r="B468" s="10" t="s">
        <v>2264</v>
      </c>
      <c r="C468" s="11" t="s">
        <v>29</v>
      </c>
      <c r="D468" s="12" t="s">
        <v>2367</v>
      </c>
      <c r="E468" s="16">
        <v>5.6605168E7</v>
      </c>
      <c r="F468" s="10" t="s">
        <v>2368</v>
      </c>
      <c r="G468" s="10"/>
      <c r="H468" s="10" t="s">
        <v>2369</v>
      </c>
      <c r="I468" s="10"/>
      <c r="J468" s="11" t="s">
        <v>34</v>
      </c>
      <c r="K468" s="10"/>
      <c r="L468" s="10"/>
      <c r="M468" s="10"/>
      <c r="N468" s="22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 t="s">
        <v>2370</v>
      </c>
      <c r="B469" s="10" t="s">
        <v>2264</v>
      </c>
      <c r="C469" s="11" t="s">
        <v>29</v>
      </c>
      <c r="D469" s="12" t="s">
        <v>2371</v>
      </c>
      <c r="E469" s="16" t="s">
        <v>2372</v>
      </c>
      <c r="F469" s="10" t="s">
        <v>2373</v>
      </c>
      <c r="G469" s="10" t="s">
        <v>2374</v>
      </c>
      <c r="H469" s="10" t="s">
        <v>2375</v>
      </c>
      <c r="I469" s="10"/>
      <c r="J469" s="10"/>
      <c r="K469" s="10"/>
      <c r="L469" s="10"/>
      <c r="M469" s="10"/>
      <c r="N469" s="22"/>
      <c r="O469" s="10"/>
      <c r="P469" s="10"/>
      <c r="Q469" s="10"/>
      <c r="R469" s="10"/>
      <c r="S469" s="10" t="s">
        <v>412</v>
      </c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 t="s">
        <v>2376</v>
      </c>
      <c r="B470" s="10" t="s">
        <v>2264</v>
      </c>
      <c r="C470" s="10" t="s">
        <v>585</v>
      </c>
      <c r="D470" s="12" t="s">
        <v>2377</v>
      </c>
      <c r="E470" s="16" t="s">
        <v>2378</v>
      </c>
      <c r="F470" s="10" t="s">
        <v>2379</v>
      </c>
      <c r="G470" s="10" t="s">
        <v>2380</v>
      </c>
      <c r="H470" s="10" t="s">
        <v>2381</v>
      </c>
      <c r="I470" s="10"/>
      <c r="J470" s="11" t="s">
        <v>34</v>
      </c>
      <c r="K470" s="11" t="s">
        <v>35</v>
      </c>
      <c r="L470" s="11">
        <v>200.0</v>
      </c>
      <c r="M470" s="11" t="s">
        <v>2382</v>
      </c>
      <c r="N470" s="22"/>
      <c r="O470" s="11" t="s">
        <v>37</v>
      </c>
      <c r="P470" s="11" t="s">
        <v>37</v>
      </c>
      <c r="Q470" s="11" t="s">
        <v>37</v>
      </c>
      <c r="R470" s="10"/>
      <c r="S470" s="11" t="s">
        <v>38</v>
      </c>
      <c r="T470" s="10"/>
      <c r="U470" s="10"/>
      <c r="V470" s="11" t="s">
        <v>34</v>
      </c>
      <c r="W470" s="11" t="s">
        <v>34</v>
      </c>
      <c r="X470" s="11" t="s">
        <v>34</v>
      </c>
      <c r="Y470" s="11" t="s">
        <v>2383</v>
      </c>
      <c r="Z470" s="11" t="s">
        <v>2384</v>
      </c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>
      <c r="A471" s="10" t="s">
        <v>2385</v>
      </c>
      <c r="B471" s="10" t="s">
        <v>2264</v>
      </c>
      <c r="C471" s="15" t="s">
        <v>29</v>
      </c>
      <c r="D471" s="12"/>
      <c r="E471" s="16" t="s">
        <v>2386</v>
      </c>
      <c r="F471" s="10" t="s">
        <v>2387</v>
      </c>
      <c r="G471" s="10" t="s">
        <v>2388</v>
      </c>
      <c r="H471" s="10" t="s">
        <v>2389</v>
      </c>
      <c r="I471" s="22"/>
      <c r="J471" s="11" t="s">
        <v>34</v>
      </c>
      <c r="K471" s="11" t="s">
        <v>35</v>
      </c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</row>
    <row r="472">
      <c r="A472" s="10" t="s">
        <v>2390</v>
      </c>
      <c r="B472" s="10" t="s">
        <v>2264</v>
      </c>
      <c r="C472" s="11" t="s">
        <v>29</v>
      </c>
      <c r="D472" s="12"/>
      <c r="E472" s="16"/>
      <c r="F472" s="10" t="s">
        <v>2391</v>
      </c>
      <c r="G472" s="10" t="s">
        <v>2392</v>
      </c>
      <c r="H472" s="10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</row>
    <row r="473">
      <c r="A473" s="10" t="s">
        <v>2393</v>
      </c>
      <c r="B473" s="10" t="s">
        <v>2394</v>
      </c>
      <c r="C473" s="15" t="s">
        <v>112</v>
      </c>
      <c r="D473" s="12" t="s">
        <v>2395</v>
      </c>
      <c r="E473" s="16" t="s">
        <v>2396</v>
      </c>
      <c r="F473" s="10" t="s">
        <v>2397</v>
      </c>
      <c r="G473" s="10"/>
      <c r="H473" s="10" t="s">
        <v>2398</v>
      </c>
      <c r="I473" s="10"/>
      <c r="J473" s="11" t="s">
        <v>34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 t="s">
        <v>2399</v>
      </c>
      <c r="B474" s="10" t="s">
        <v>2394</v>
      </c>
      <c r="C474" s="10" t="s">
        <v>90</v>
      </c>
      <c r="D474" s="12"/>
      <c r="E474" s="16" t="s">
        <v>2400</v>
      </c>
      <c r="F474" s="10"/>
      <c r="G474" s="10" t="s">
        <v>2401</v>
      </c>
      <c r="H474" s="10" t="s">
        <v>2402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 t="s">
        <v>2403</v>
      </c>
      <c r="B475" s="10" t="s">
        <v>2394</v>
      </c>
      <c r="C475" s="10" t="s">
        <v>90</v>
      </c>
      <c r="D475" s="12" t="s">
        <v>2404</v>
      </c>
      <c r="E475" s="16">
        <v>7821798.0</v>
      </c>
      <c r="F475" s="10" t="s">
        <v>2405</v>
      </c>
      <c r="G475" s="10"/>
      <c r="H475" s="10" t="s">
        <v>2406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 t="s">
        <v>412</v>
      </c>
      <c r="T475" s="10"/>
      <c r="U475" s="10"/>
      <c r="V475" s="10"/>
      <c r="W475" s="10"/>
      <c r="X475" s="10"/>
      <c r="Y475" s="10"/>
      <c r="Z475" s="10" t="s">
        <v>412</v>
      </c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 t="s">
        <v>2407</v>
      </c>
      <c r="B476" s="11" t="s">
        <v>2394</v>
      </c>
      <c r="C476" s="10" t="s">
        <v>90</v>
      </c>
      <c r="D476" s="12" t="s">
        <v>2408</v>
      </c>
      <c r="E476" s="16" t="s">
        <v>2409</v>
      </c>
      <c r="F476" s="10" t="s">
        <v>2410</v>
      </c>
      <c r="G476" s="10"/>
      <c r="H476" s="10" t="s">
        <v>2411</v>
      </c>
      <c r="I476" s="10"/>
      <c r="J476" s="10"/>
      <c r="K476" s="10"/>
      <c r="L476" s="10"/>
      <c r="M476" s="10"/>
      <c r="N476" s="22"/>
      <c r="O476" s="10"/>
      <c r="P476" s="10"/>
      <c r="Q476" s="10"/>
      <c r="R476" s="10"/>
      <c r="S476" s="10" t="s">
        <v>34</v>
      </c>
      <c r="T476" s="10" t="s">
        <v>2412</v>
      </c>
      <c r="U476" s="10"/>
      <c r="V476" s="10"/>
      <c r="W476" s="10" t="s">
        <v>413</v>
      </c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 t="s">
        <v>2413</v>
      </c>
      <c r="B477" s="10" t="s">
        <v>2394</v>
      </c>
      <c r="C477" s="15" t="s">
        <v>211</v>
      </c>
      <c r="D477" s="12" t="s">
        <v>2414</v>
      </c>
      <c r="E477" s="16" t="s">
        <v>2400</v>
      </c>
      <c r="F477" s="10" t="s">
        <v>2415</v>
      </c>
      <c r="G477" s="10" t="s">
        <v>2401</v>
      </c>
      <c r="H477" s="10" t="s">
        <v>2416</v>
      </c>
      <c r="I477" s="10"/>
      <c r="J477" s="10"/>
      <c r="K477" s="10"/>
      <c r="L477" s="10"/>
      <c r="M477" s="10"/>
      <c r="N477" s="22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 t="s">
        <v>2417</v>
      </c>
      <c r="B478" s="10" t="s">
        <v>2394</v>
      </c>
      <c r="C478" s="15" t="s">
        <v>211</v>
      </c>
      <c r="D478" s="12"/>
      <c r="E478" s="16" t="s">
        <v>2418</v>
      </c>
      <c r="F478" s="10" t="s">
        <v>2419</v>
      </c>
      <c r="G478" s="10" t="s">
        <v>2420</v>
      </c>
      <c r="H478" s="10" t="s">
        <v>2421</v>
      </c>
      <c r="I478" s="10"/>
      <c r="J478" s="10"/>
      <c r="K478" s="10"/>
      <c r="L478" s="10"/>
      <c r="M478" s="10"/>
      <c r="N478" s="22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 t="s">
        <v>2422</v>
      </c>
      <c r="B479" s="10" t="s">
        <v>2394</v>
      </c>
      <c r="C479" s="10" t="s">
        <v>262</v>
      </c>
      <c r="D479" s="12" t="s">
        <v>2423</v>
      </c>
      <c r="E479" s="16">
        <v>5.3440622E7</v>
      </c>
      <c r="F479" s="10" t="s">
        <v>2424</v>
      </c>
      <c r="G479" s="10" t="s">
        <v>2425</v>
      </c>
      <c r="H479" s="10" t="s">
        <v>2426</v>
      </c>
      <c r="I479" s="10"/>
      <c r="J479" s="10"/>
      <c r="K479" s="10"/>
      <c r="L479" s="10"/>
      <c r="M479" s="10"/>
      <c r="N479" s="22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 t="s">
        <v>2427</v>
      </c>
      <c r="B480" s="10" t="s">
        <v>2394</v>
      </c>
      <c r="C480" s="10" t="s">
        <v>388</v>
      </c>
      <c r="D480" s="12" t="s">
        <v>2428</v>
      </c>
      <c r="E480" s="16" t="s">
        <v>2429</v>
      </c>
      <c r="F480" s="10" t="s">
        <v>2430</v>
      </c>
      <c r="G480" s="10"/>
      <c r="H480" s="10" t="s">
        <v>2431</v>
      </c>
      <c r="I480" s="10"/>
      <c r="J480" s="10"/>
      <c r="K480" s="10"/>
      <c r="L480" s="10"/>
      <c r="M480" s="10"/>
      <c r="N480" s="22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 t="s">
        <v>2432</v>
      </c>
      <c r="B481" s="10" t="s">
        <v>2394</v>
      </c>
      <c r="C481" s="15" t="s">
        <v>400</v>
      </c>
      <c r="D481" s="12" t="s">
        <v>2433</v>
      </c>
      <c r="E481" s="16" t="s">
        <v>2434</v>
      </c>
      <c r="F481" s="10" t="s">
        <v>2435</v>
      </c>
      <c r="G481" s="10"/>
      <c r="H481" s="10" t="s">
        <v>2436</v>
      </c>
      <c r="I481" s="10"/>
      <c r="J481" s="11" t="s">
        <v>34</v>
      </c>
      <c r="K481" s="10"/>
      <c r="L481" s="10"/>
      <c r="M481" s="10"/>
      <c r="N481" s="22"/>
      <c r="O481" s="10" t="s">
        <v>412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 t="s">
        <v>2437</v>
      </c>
      <c r="B482" s="10" t="s">
        <v>2394</v>
      </c>
      <c r="C482" s="10" t="s">
        <v>29</v>
      </c>
      <c r="D482" s="12"/>
      <c r="E482" s="16"/>
      <c r="F482" s="10" t="s">
        <v>2438</v>
      </c>
      <c r="G482" s="10" t="s">
        <v>2439</v>
      </c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</row>
    <row r="483">
      <c r="A483" s="10" t="s">
        <v>2440</v>
      </c>
      <c r="B483" s="10" t="s">
        <v>2441</v>
      </c>
      <c r="C483" s="15" t="s">
        <v>112</v>
      </c>
      <c r="D483" s="12"/>
      <c r="E483" s="16" t="s">
        <v>2442</v>
      </c>
      <c r="F483" s="10" t="s">
        <v>2443</v>
      </c>
      <c r="G483" s="10" t="s">
        <v>2444</v>
      </c>
      <c r="H483" s="10" t="s">
        <v>2445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 t="s">
        <v>2446</v>
      </c>
      <c r="B484" s="10" t="s">
        <v>2441</v>
      </c>
      <c r="C484" s="15" t="s">
        <v>112</v>
      </c>
      <c r="D484" s="12"/>
      <c r="E484" s="16" t="s">
        <v>2447</v>
      </c>
      <c r="F484" s="10" t="s">
        <v>2448</v>
      </c>
      <c r="G484" s="10" t="s">
        <v>2449</v>
      </c>
      <c r="H484" s="10" t="s">
        <v>2450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 t="s">
        <v>2451</v>
      </c>
      <c r="B485" s="10" t="s">
        <v>2441</v>
      </c>
      <c r="C485" s="15" t="s">
        <v>112</v>
      </c>
      <c r="D485" s="12"/>
      <c r="E485" s="16" t="s">
        <v>2452</v>
      </c>
      <c r="F485" s="10" t="s">
        <v>2453</v>
      </c>
      <c r="G485" s="10" t="s">
        <v>2454</v>
      </c>
      <c r="H485" s="10" t="s">
        <v>2455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 t="s">
        <v>2456</v>
      </c>
      <c r="B486" s="10" t="s">
        <v>2441</v>
      </c>
      <c r="C486" s="15" t="s">
        <v>112</v>
      </c>
      <c r="D486" s="12"/>
      <c r="E486" s="16" t="s">
        <v>2457</v>
      </c>
      <c r="F486" s="10" t="s">
        <v>2458</v>
      </c>
      <c r="G486" s="10" t="s">
        <v>2459</v>
      </c>
      <c r="H486" s="10" t="s">
        <v>2460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 t="s">
        <v>2461</v>
      </c>
      <c r="B487" s="10" t="s">
        <v>2441</v>
      </c>
      <c r="C487" s="15" t="s">
        <v>112</v>
      </c>
      <c r="D487" s="12"/>
      <c r="E487" s="16" t="s">
        <v>2462</v>
      </c>
      <c r="F487" s="10" t="s">
        <v>2463</v>
      </c>
      <c r="G487" s="10" t="s">
        <v>2444</v>
      </c>
      <c r="H487" s="10" t="s">
        <v>2464</v>
      </c>
      <c r="I487" s="10"/>
      <c r="J487" s="10"/>
      <c r="K487" s="10"/>
      <c r="L487" s="10"/>
      <c r="M487" s="10"/>
      <c r="N487" s="22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 t="s">
        <v>2465</v>
      </c>
      <c r="B488" s="10" t="s">
        <v>2441</v>
      </c>
      <c r="C488" s="15" t="s">
        <v>112</v>
      </c>
      <c r="D488" s="12"/>
      <c r="E488" s="16" t="s">
        <v>2466</v>
      </c>
      <c r="F488" s="10" t="s">
        <v>2467</v>
      </c>
      <c r="G488" s="10" t="s">
        <v>2468</v>
      </c>
      <c r="H488" s="10" t="s">
        <v>2469</v>
      </c>
      <c r="I488" s="10"/>
      <c r="J488" s="10"/>
      <c r="K488" s="10"/>
      <c r="L488" s="10"/>
      <c r="M488" s="10"/>
      <c r="N488" s="22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 t="s">
        <v>2470</v>
      </c>
      <c r="B489" s="10" t="s">
        <v>2441</v>
      </c>
      <c r="C489" s="15" t="s">
        <v>112</v>
      </c>
      <c r="D489" s="12"/>
      <c r="E489" s="16" t="s">
        <v>2471</v>
      </c>
      <c r="F489" s="10" t="s">
        <v>2472</v>
      </c>
      <c r="G489" s="10" t="s">
        <v>2473</v>
      </c>
      <c r="H489" s="10" t="s">
        <v>2474</v>
      </c>
      <c r="I489" s="10"/>
      <c r="J489" s="10"/>
      <c r="K489" s="10"/>
      <c r="L489" s="10"/>
      <c r="M489" s="10"/>
      <c r="N489" s="22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 t="s">
        <v>2475</v>
      </c>
      <c r="B490" s="10" t="s">
        <v>2441</v>
      </c>
      <c r="C490" s="15" t="s">
        <v>112</v>
      </c>
      <c r="D490" s="12"/>
      <c r="E490" s="16" t="s">
        <v>2476</v>
      </c>
      <c r="F490" s="10" t="s">
        <v>2477</v>
      </c>
      <c r="G490" s="10" t="s">
        <v>2478</v>
      </c>
      <c r="H490" s="10" t="s">
        <v>2479</v>
      </c>
      <c r="I490" s="10"/>
      <c r="J490" s="10"/>
      <c r="K490" s="10"/>
      <c r="L490" s="10"/>
      <c r="M490" s="10"/>
      <c r="N490" s="22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 t="s">
        <v>2480</v>
      </c>
      <c r="B491" s="10" t="s">
        <v>2441</v>
      </c>
      <c r="C491" s="15" t="s">
        <v>112</v>
      </c>
      <c r="D491" s="12"/>
      <c r="E491" s="16" t="s">
        <v>2481</v>
      </c>
      <c r="F491" s="10" t="s">
        <v>2482</v>
      </c>
      <c r="G491" s="10" t="s">
        <v>2483</v>
      </c>
      <c r="H491" s="10" t="s">
        <v>2484</v>
      </c>
      <c r="I491" s="10"/>
      <c r="J491" s="10"/>
      <c r="K491" s="10"/>
      <c r="L491" s="10"/>
      <c r="M491" s="10"/>
      <c r="N491" s="22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 t="s">
        <v>2485</v>
      </c>
      <c r="B492" s="10" t="s">
        <v>2441</v>
      </c>
      <c r="C492" s="15" t="s">
        <v>112</v>
      </c>
      <c r="D492" s="12"/>
      <c r="E492" s="16" t="s">
        <v>2486</v>
      </c>
      <c r="F492" s="10" t="s">
        <v>2487</v>
      </c>
      <c r="G492" s="10" t="s">
        <v>2488</v>
      </c>
      <c r="H492" s="10" t="s">
        <v>2489</v>
      </c>
      <c r="I492" s="10"/>
      <c r="J492" s="10"/>
      <c r="K492" s="10"/>
      <c r="L492" s="10"/>
      <c r="M492" s="10"/>
      <c r="N492" s="22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 t="s">
        <v>2490</v>
      </c>
      <c r="B493" s="10" t="s">
        <v>2441</v>
      </c>
      <c r="C493" s="15" t="s">
        <v>112</v>
      </c>
      <c r="D493" s="12"/>
      <c r="E493" s="16" t="s">
        <v>2491</v>
      </c>
      <c r="F493" s="10" t="s">
        <v>2492</v>
      </c>
      <c r="G493" s="10" t="s">
        <v>2493</v>
      </c>
      <c r="H493" s="10" t="s">
        <v>2494</v>
      </c>
      <c r="I493" s="10"/>
      <c r="J493" s="10"/>
      <c r="K493" s="10"/>
      <c r="L493" s="10"/>
      <c r="M493" s="10"/>
      <c r="N493" s="22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 t="s">
        <v>2495</v>
      </c>
      <c r="B494" s="10" t="s">
        <v>2441</v>
      </c>
      <c r="C494" s="15" t="s">
        <v>112</v>
      </c>
      <c r="D494" s="12"/>
      <c r="E494" s="16" t="s">
        <v>2496</v>
      </c>
      <c r="F494" s="10" t="s">
        <v>2497</v>
      </c>
      <c r="G494" s="10" t="s">
        <v>2498</v>
      </c>
      <c r="H494" s="10" t="s">
        <v>2499</v>
      </c>
      <c r="I494" s="10"/>
      <c r="J494" s="10"/>
      <c r="K494" s="10"/>
      <c r="L494" s="10"/>
      <c r="M494" s="10"/>
      <c r="N494" s="22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 t="s">
        <v>2500</v>
      </c>
      <c r="B495" s="10" t="s">
        <v>2441</v>
      </c>
      <c r="C495" s="15" t="s">
        <v>112</v>
      </c>
      <c r="D495" s="12"/>
      <c r="E495" s="16" t="s">
        <v>2501</v>
      </c>
      <c r="F495" s="10" t="s">
        <v>2502</v>
      </c>
      <c r="G495" s="10" t="s">
        <v>2503</v>
      </c>
      <c r="H495" s="10" t="s">
        <v>2504</v>
      </c>
      <c r="I495" s="10"/>
      <c r="J495" s="10"/>
      <c r="K495" s="10"/>
      <c r="L495" s="10"/>
      <c r="M495" s="10"/>
      <c r="N495" s="22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 t="s">
        <v>2407</v>
      </c>
      <c r="B496" s="10" t="s">
        <v>2441</v>
      </c>
      <c r="C496" s="10" t="s">
        <v>90</v>
      </c>
      <c r="D496" s="12" t="s">
        <v>2408</v>
      </c>
      <c r="E496" s="16" t="s">
        <v>2409</v>
      </c>
      <c r="F496" s="10" t="s">
        <v>2505</v>
      </c>
      <c r="G496" s="10"/>
      <c r="H496" s="10" t="s">
        <v>2411</v>
      </c>
      <c r="I496" s="10"/>
      <c r="J496" s="10"/>
      <c r="K496" s="10"/>
      <c r="L496" s="10"/>
      <c r="M496" s="10"/>
      <c r="N496" s="22"/>
      <c r="O496" s="10"/>
      <c r="P496" s="10"/>
      <c r="Q496" s="10"/>
      <c r="R496" s="10"/>
      <c r="S496" s="10" t="s">
        <v>34</v>
      </c>
      <c r="T496" s="10" t="s">
        <v>2412</v>
      </c>
      <c r="U496" s="10"/>
      <c r="V496" s="10"/>
      <c r="W496" s="10" t="s">
        <v>413</v>
      </c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 t="s">
        <v>2506</v>
      </c>
      <c r="B497" s="10" t="s">
        <v>2441</v>
      </c>
      <c r="C497" s="15" t="s">
        <v>211</v>
      </c>
      <c r="D497" s="12" t="s">
        <v>2507</v>
      </c>
      <c r="E497" s="16">
        <v>5030676.0</v>
      </c>
      <c r="F497" s="10" t="s">
        <v>2508</v>
      </c>
      <c r="G497" s="10" t="s">
        <v>2509</v>
      </c>
      <c r="H497" s="10" t="s">
        <v>2510</v>
      </c>
      <c r="I497" s="10"/>
      <c r="J497" s="10"/>
      <c r="K497" s="10"/>
      <c r="L497" s="10"/>
      <c r="M497" s="10"/>
      <c r="N497" s="22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 t="s">
        <v>2511</v>
      </c>
      <c r="B498" s="10" t="s">
        <v>2441</v>
      </c>
      <c r="C498" s="15" t="s">
        <v>211</v>
      </c>
      <c r="D498" s="12" t="s">
        <v>2512</v>
      </c>
      <c r="E498" s="16" t="s">
        <v>2513</v>
      </c>
      <c r="F498" s="10" t="s">
        <v>2514</v>
      </c>
      <c r="G498" s="10" t="s">
        <v>2509</v>
      </c>
      <c r="H498" s="10" t="s">
        <v>2515</v>
      </c>
      <c r="I498" s="10"/>
      <c r="J498" s="10"/>
      <c r="K498" s="10"/>
      <c r="L498" s="10"/>
      <c r="M498" s="10"/>
      <c r="N498" s="22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 t="s">
        <v>2516</v>
      </c>
      <c r="B499" s="10" t="s">
        <v>2441</v>
      </c>
      <c r="C499" s="15" t="s">
        <v>211</v>
      </c>
      <c r="D499" s="12" t="s">
        <v>2517</v>
      </c>
      <c r="E499" s="16" t="s">
        <v>2518</v>
      </c>
      <c r="F499" s="10" t="s">
        <v>2519</v>
      </c>
      <c r="G499" s="10" t="s">
        <v>2209</v>
      </c>
      <c r="H499" s="10" t="s">
        <v>2520</v>
      </c>
      <c r="I499" s="10"/>
      <c r="J499" s="10"/>
      <c r="K499" s="10"/>
      <c r="L499" s="10"/>
      <c r="M499" s="10"/>
      <c r="N499" s="22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 t="s">
        <v>2521</v>
      </c>
      <c r="B500" s="10" t="s">
        <v>2441</v>
      </c>
      <c r="C500" s="10" t="s">
        <v>262</v>
      </c>
      <c r="D500" s="12"/>
      <c r="E500" s="16" t="s">
        <v>2522</v>
      </c>
      <c r="F500" s="10" t="s">
        <v>2523</v>
      </c>
      <c r="G500" s="10" t="s">
        <v>2524</v>
      </c>
      <c r="H500" s="10" t="s">
        <v>2525</v>
      </c>
      <c r="I500" s="10"/>
      <c r="J500" s="10"/>
      <c r="K500" s="10"/>
      <c r="L500" s="10"/>
      <c r="M500" s="10"/>
      <c r="N500" s="22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 t="s">
        <v>2526</v>
      </c>
      <c r="B501" s="10" t="s">
        <v>2441</v>
      </c>
      <c r="C501" s="10" t="s">
        <v>262</v>
      </c>
      <c r="D501" s="12"/>
      <c r="E501" s="16" t="s">
        <v>2527</v>
      </c>
      <c r="F501" s="10" t="s">
        <v>2528</v>
      </c>
      <c r="G501" s="10" t="s">
        <v>2444</v>
      </c>
      <c r="H501" s="10" t="s">
        <v>2529</v>
      </c>
      <c r="I501" s="10"/>
      <c r="J501" s="10"/>
      <c r="K501" s="10"/>
      <c r="L501" s="10"/>
      <c r="M501" s="10"/>
      <c r="N501" s="22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 t="s">
        <v>2530</v>
      </c>
      <c r="B502" s="10" t="s">
        <v>2441</v>
      </c>
      <c r="C502" s="10" t="s">
        <v>262</v>
      </c>
      <c r="D502" s="12"/>
      <c r="E502" s="16" t="s">
        <v>2531</v>
      </c>
      <c r="F502" s="10" t="s">
        <v>2532</v>
      </c>
      <c r="G502" s="10" t="s">
        <v>2533</v>
      </c>
      <c r="H502" s="10" t="s">
        <v>2534</v>
      </c>
      <c r="I502" s="10"/>
      <c r="J502" s="10"/>
      <c r="K502" s="10"/>
      <c r="L502" s="10"/>
      <c r="M502" s="10"/>
      <c r="N502" s="22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 t="s">
        <v>2535</v>
      </c>
      <c r="B503" s="10" t="s">
        <v>2441</v>
      </c>
      <c r="C503" s="10" t="s">
        <v>262</v>
      </c>
      <c r="D503" s="12" t="s">
        <v>2536</v>
      </c>
      <c r="E503" s="16" t="s">
        <v>2537</v>
      </c>
      <c r="F503" s="10" t="s">
        <v>2538</v>
      </c>
      <c r="G503" s="10" t="s">
        <v>2539</v>
      </c>
      <c r="H503" s="10" t="s">
        <v>2540</v>
      </c>
      <c r="I503" s="10"/>
      <c r="J503" s="11" t="s">
        <v>34</v>
      </c>
      <c r="K503" s="10"/>
      <c r="L503" s="10"/>
      <c r="M503" s="10"/>
      <c r="N503" s="22"/>
      <c r="O503" s="10" t="s">
        <v>412</v>
      </c>
      <c r="P503" s="10"/>
      <c r="Q503" s="10" t="s">
        <v>412</v>
      </c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 t="s">
        <v>2541</v>
      </c>
      <c r="B504" s="10" t="s">
        <v>2441</v>
      </c>
      <c r="C504" s="10" t="s">
        <v>262</v>
      </c>
      <c r="D504" s="12"/>
      <c r="E504" s="16" t="s">
        <v>2542</v>
      </c>
      <c r="F504" s="10" t="s">
        <v>2543</v>
      </c>
      <c r="G504" s="10" t="s">
        <v>2544</v>
      </c>
      <c r="H504" s="10" t="s">
        <v>2545</v>
      </c>
      <c r="I504" s="10"/>
      <c r="J504" s="10"/>
      <c r="K504" s="10"/>
      <c r="L504" s="10"/>
      <c r="M504" s="10"/>
      <c r="N504" s="22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 t="s">
        <v>2546</v>
      </c>
      <c r="B505" s="10" t="s">
        <v>2441</v>
      </c>
      <c r="C505" s="11" t="s">
        <v>29</v>
      </c>
      <c r="D505" s="12" t="s">
        <v>2547</v>
      </c>
      <c r="E505" s="16" t="s">
        <v>2548</v>
      </c>
      <c r="F505" s="10" t="s">
        <v>2549</v>
      </c>
      <c r="G505" s="10" t="s">
        <v>2550</v>
      </c>
      <c r="H505" s="10" t="s">
        <v>2551</v>
      </c>
      <c r="I505" s="10"/>
      <c r="J505" s="11" t="s">
        <v>34</v>
      </c>
      <c r="K505" s="10"/>
      <c r="L505" s="10"/>
      <c r="M505" s="10"/>
      <c r="N505" s="22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27" t="s">
        <v>2552</v>
      </c>
      <c r="B506" s="10" t="s">
        <v>2441</v>
      </c>
      <c r="C506" s="10" t="s">
        <v>585</v>
      </c>
      <c r="D506" s="12" t="s">
        <v>2553</v>
      </c>
      <c r="E506" s="16">
        <v>5135350.0</v>
      </c>
      <c r="F506" s="10" t="s">
        <v>2554</v>
      </c>
      <c r="G506" s="10"/>
      <c r="H506" s="10" t="s">
        <v>2555</v>
      </c>
      <c r="I506" s="10"/>
      <c r="J506" s="11" t="s">
        <v>34</v>
      </c>
      <c r="K506" s="11" t="s">
        <v>35</v>
      </c>
      <c r="L506" s="10"/>
      <c r="M506" s="10"/>
      <c r="N506" s="22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 t="s">
        <v>412</v>
      </c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 t="s">
        <v>2556</v>
      </c>
      <c r="B507" s="10" t="s">
        <v>2441</v>
      </c>
      <c r="C507" s="10" t="s">
        <v>585</v>
      </c>
      <c r="D507" s="12" t="s">
        <v>2557</v>
      </c>
      <c r="E507" s="16" t="s">
        <v>2558</v>
      </c>
      <c r="F507" s="10" t="s">
        <v>2559</v>
      </c>
      <c r="G507" s="10" t="s">
        <v>2560</v>
      </c>
      <c r="H507" s="10" t="s">
        <v>2561</v>
      </c>
      <c r="I507" s="10"/>
      <c r="J507" s="10"/>
      <c r="K507" s="10"/>
      <c r="L507" s="10"/>
      <c r="M507" s="10"/>
      <c r="N507" s="22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 t="s">
        <v>2562</v>
      </c>
      <c r="B508" s="10" t="s">
        <v>2441</v>
      </c>
      <c r="C508" s="11" t="s">
        <v>29</v>
      </c>
      <c r="D508" s="12" t="s">
        <v>2563</v>
      </c>
      <c r="E508" s="16" t="s">
        <v>2564</v>
      </c>
      <c r="F508" s="10" t="s">
        <v>2565</v>
      </c>
      <c r="G508" s="10" t="s">
        <v>2566</v>
      </c>
      <c r="H508" s="10" t="s">
        <v>2567</v>
      </c>
      <c r="I508" s="10"/>
      <c r="J508" s="11" t="s">
        <v>34</v>
      </c>
      <c r="K508" s="11" t="s">
        <v>35</v>
      </c>
      <c r="L508" s="10"/>
      <c r="M508" s="10"/>
      <c r="N508" s="22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 t="s">
        <v>2568</v>
      </c>
      <c r="B509" s="10" t="s">
        <v>2441</v>
      </c>
      <c r="C509" s="11" t="s">
        <v>29</v>
      </c>
      <c r="D509" s="12" t="s">
        <v>2569</v>
      </c>
      <c r="E509" s="16"/>
      <c r="F509" s="10"/>
      <c r="G509" s="10" t="s">
        <v>2570</v>
      </c>
      <c r="H509" s="10" t="s">
        <v>2571</v>
      </c>
      <c r="I509" s="10"/>
      <c r="J509" s="11" t="s">
        <v>34</v>
      </c>
      <c r="K509" s="10"/>
      <c r="L509" s="10">
        <v>50.0</v>
      </c>
      <c r="M509" s="10"/>
      <c r="N509" s="22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 t="s">
        <v>2572</v>
      </c>
      <c r="B510" s="10" t="s">
        <v>2441</v>
      </c>
      <c r="C510" s="11" t="s">
        <v>29</v>
      </c>
      <c r="D510" s="12" t="s">
        <v>2573</v>
      </c>
      <c r="E510" s="16" t="s">
        <v>2574</v>
      </c>
      <c r="F510" s="10" t="s">
        <v>2575</v>
      </c>
      <c r="G510" s="10" t="s">
        <v>2576</v>
      </c>
      <c r="H510" s="10" t="s">
        <v>2577</v>
      </c>
      <c r="I510" s="10"/>
      <c r="J510" s="11" t="s">
        <v>34</v>
      </c>
      <c r="K510" s="10"/>
      <c r="L510" s="10"/>
      <c r="M510" s="10"/>
      <c r="N510" s="22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 t="s">
        <v>2578</v>
      </c>
      <c r="B511" s="10" t="s">
        <v>2441</v>
      </c>
      <c r="C511" s="11" t="s">
        <v>29</v>
      </c>
      <c r="D511" s="12" t="s">
        <v>2579</v>
      </c>
      <c r="E511" s="16" t="s">
        <v>2580</v>
      </c>
      <c r="F511" s="10" t="s">
        <v>2581</v>
      </c>
      <c r="G511" s="10" t="s">
        <v>2582</v>
      </c>
      <c r="H511" s="10" t="s">
        <v>2583</v>
      </c>
      <c r="I511" s="10"/>
      <c r="J511" s="11" t="s">
        <v>34</v>
      </c>
      <c r="K511" s="10"/>
      <c r="L511" s="10">
        <v>30.0</v>
      </c>
      <c r="M511" s="10"/>
      <c r="N511" s="22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 t="s">
        <v>2584</v>
      </c>
      <c r="B512" s="10" t="s">
        <v>2441</v>
      </c>
      <c r="C512" s="10" t="s">
        <v>585</v>
      </c>
      <c r="D512" s="12" t="s">
        <v>2585</v>
      </c>
      <c r="E512" s="16">
        <v>5055707.0</v>
      </c>
      <c r="F512" s="10" t="s">
        <v>2586</v>
      </c>
      <c r="G512" s="10" t="s">
        <v>2587</v>
      </c>
      <c r="H512" s="10" t="s">
        <v>2588</v>
      </c>
      <c r="I512" s="10"/>
      <c r="J512" s="11" t="s">
        <v>34</v>
      </c>
      <c r="K512" s="11" t="s">
        <v>543</v>
      </c>
      <c r="L512" s="10" t="s">
        <v>2589</v>
      </c>
      <c r="M512" s="10"/>
      <c r="N512" s="22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 t="s">
        <v>2590</v>
      </c>
      <c r="B513" s="10" t="s">
        <v>2441</v>
      </c>
      <c r="C513" s="11" t="s">
        <v>29</v>
      </c>
      <c r="D513" s="12"/>
      <c r="E513" s="16" t="s">
        <v>2591</v>
      </c>
      <c r="F513" s="10" t="s">
        <v>2592</v>
      </c>
      <c r="G513" s="10"/>
      <c r="H513" s="10" t="s">
        <v>2593</v>
      </c>
      <c r="I513" s="10"/>
      <c r="J513" s="11" t="s">
        <v>34</v>
      </c>
      <c r="K513" s="10"/>
      <c r="L513" s="10"/>
      <c r="M513" s="10"/>
      <c r="N513" s="22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 t="s">
        <v>2594</v>
      </c>
      <c r="B514" s="10" t="s">
        <v>2441</v>
      </c>
      <c r="C514" s="10" t="s">
        <v>585</v>
      </c>
      <c r="D514" s="12" t="s">
        <v>2595</v>
      </c>
      <c r="E514" s="16" t="s">
        <v>2596</v>
      </c>
      <c r="F514" s="10" t="s">
        <v>2597</v>
      </c>
      <c r="G514" s="10"/>
      <c r="H514" s="10" t="s">
        <v>2598</v>
      </c>
      <c r="I514" s="10"/>
      <c r="J514" s="10"/>
      <c r="K514" s="10"/>
      <c r="L514" s="10"/>
      <c r="M514" s="10"/>
      <c r="N514" s="22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 t="s">
        <v>412</v>
      </c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 t="s">
        <v>2599</v>
      </c>
      <c r="B515" s="10" t="s">
        <v>2441</v>
      </c>
      <c r="C515" s="11" t="s">
        <v>29</v>
      </c>
      <c r="D515" s="12"/>
      <c r="E515" s="16"/>
      <c r="F515" s="10" t="s">
        <v>2600</v>
      </c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</row>
    <row r="516">
      <c r="A516" s="10" t="s">
        <v>2601</v>
      </c>
      <c r="B516" s="10" t="s">
        <v>2441</v>
      </c>
      <c r="C516" s="11" t="s">
        <v>29</v>
      </c>
      <c r="D516" s="12"/>
      <c r="E516" s="16"/>
      <c r="F516" s="10" t="s">
        <v>2528</v>
      </c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</row>
    <row r="517">
      <c r="A517" s="10" t="s">
        <v>2602</v>
      </c>
      <c r="B517" s="10" t="s">
        <v>2441</v>
      </c>
      <c r="C517" s="11" t="s">
        <v>29</v>
      </c>
      <c r="D517" s="12"/>
      <c r="E517" s="16"/>
      <c r="F517" s="10" t="s">
        <v>2603</v>
      </c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</row>
    <row r="518">
      <c r="A518" s="10" t="s">
        <v>2604</v>
      </c>
      <c r="B518" s="10" t="s">
        <v>2441</v>
      </c>
      <c r="C518" s="11" t="s">
        <v>29</v>
      </c>
      <c r="D518" s="12"/>
      <c r="E518" s="16"/>
      <c r="F518" s="10" t="s">
        <v>2532</v>
      </c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</row>
    <row r="519">
      <c r="A519" s="10" t="s">
        <v>2605</v>
      </c>
      <c r="B519" s="10" t="s">
        <v>2441</v>
      </c>
      <c r="C519" s="11" t="s">
        <v>29</v>
      </c>
      <c r="D519" s="12"/>
      <c r="E519" s="16"/>
      <c r="F519" s="10" t="s">
        <v>2606</v>
      </c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</row>
    <row r="520">
      <c r="A520" s="10" t="s">
        <v>2607</v>
      </c>
      <c r="B520" s="10" t="s">
        <v>2608</v>
      </c>
      <c r="C520" s="15" t="s">
        <v>112</v>
      </c>
      <c r="D520" s="12"/>
      <c r="E520" s="16"/>
      <c r="F520" s="10"/>
      <c r="G520" s="10"/>
      <c r="H520" s="10" t="s">
        <v>2609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 t="s">
        <v>2610</v>
      </c>
      <c r="B521" s="10" t="s">
        <v>2608</v>
      </c>
      <c r="C521" s="11" t="s">
        <v>29</v>
      </c>
      <c r="D521" s="12" t="s">
        <v>2611</v>
      </c>
      <c r="E521" s="16" t="s">
        <v>2612</v>
      </c>
      <c r="F521" s="10" t="s">
        <v>2613</v>
      </c>
      <c r="G521" s="10" t="s">
        <v>2614</v>
      </c>
      <c r="H521" s="10" t="s">
        <v>2615</v>
      </c>
      <c r="I521" s="10"/>
      <c r="J521" s="10"/>
      <c r="K521" s="10"/>
      <c r="L521" s="10">
        <v>120.0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 t="s">
        <v>2616</v>
      </c>
      <c r="B522" s="10" t="s">
        <v>2608</v>
      </c>
      <c r="C522" s="10" t="s">
        <v>90</v>
      </c>
      <c r="D522" s="12" t="s">
        <v>2617</v>
      </c>
      <c r="E522" s="16" t="s">
        <v>2618</v>
      </c>
      <c r="F522" s="10" t="s">
        <v>2619</v>
      </c>
      <c r="G522" s="10"/>
      <c r="H522" s="10" t="s">
        <v>2620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 t="s">
        <v>2621</v>
      </c>
      <c r="B523" s="10" t="s">
        <v>2608</v>
      </c>
      <c r="C523" s="11" t="s">
        <v>29</v>
      </c>
      <c r="D523" s="12" t="s">
        <v>2622</v>
      </c>
      <c r="E523" s="16" t="s">
        <v>2623</v>
      </c>
      <c r="F523" s="10" t="s">
        <v>2624</v>
      </c>
      <c r="G523" s="10"/>
      <c r="H523" s="10" t="s">
        <v>2625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 t="s">
        <v>412</v>
      </c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 t="s">
        <v>2626</v>
      </c>
      <c r="B524" s="10" t="s">
        <v>2608</v>
      </c>
      <c r="C524" s="10" t="s">
        <v>90</v>
      </c>
      <c r="D524" s="12" t="s">
        <v>2627</v>
      </c>
      <c r="E524" s="16">
        <v>5.3068118E7</v>
      </c>
      <c r="F524" s="10" t="s">
        <v>2628</v>
      </c>
      <c r="G524" s="10"/>
      <c r="H524" s="10" t="s">
        <v>2629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 t="s">
        <v>2630</v>
      </c>
      <c r="B525" s="10" t="s">
        <v>2608</v>
      </c>
      <c r="C525" s="15" t="s">
        <v>211</v>
      </c>
      <c r="D525" s="12" t="s">
        <v>2631</v>
      </c>
      <c r="E525" s="16" t="s">
        <v>2632</v>
      </c>
      <c r="F525" s="10" t="s">
        <v>2633</v>
      </c>
      <c r="G525" s="10" t="s">
        <v>2634</v>
      </c>
      <c r="H525" s="10" t="s">
        <v>2635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 t="s">
        <v>2636</v>
      </c>
      <c r="B526" s="10" t="s">
        <v>2608</v>
      </c>
      <c r="C526" s="15" t="s">
        <v>211</v>
      </c>
      <c r="D526" s="12"/>
      <c r="E526" s="16">
        <v>5264037.0</v>
      </c>
      <c r="F526" s="10" t="s">
        <v>2637</v>
      </c>
      <c r="G526" s="10" t="s">
        <v>2634</v>
      </c>
      <c r="H526" s="10" t="s">
        <v>2638</v>
      </c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 t="s">
        <v>2639</v>
      </c>
      <c r="B527" s="10" t="s">
        <v>2608</v>
      </c>
      <c r="C527" s="15" t="s">
        <v>211</v>
      </c>
      <c r="D527" s="12" t="s">
        <v>2512</v>
      </c>
      <c r="E527" s="16" t="s">
        <v>2640</v>
      </c>
      <c r="F527" s="10" t="s">
        <v>2514</v>
      </c>
      <c r="G527" s="10" t="s">
        <v>2209</v>
      </c>
      <c r="H527" s="10" t="s">
        <v>2641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 t="s">
        <v>2642</v>
      </c>
      <c r="B528" s="10" t="s">
        <v>2608</v>
      </c>
      <c r="C528" s="15" t="s">
        <v>211</v>
      </c>
      <c r="D528" s="12" t="s">
        <v>2643</v>
      </c>
      <c r="E528" s="16" t="s">
        <v>2644</v>
      </c>
      <c r="F528" s="10" t="s">
        <v>2645</v>
      </c>
      <c r="G528" s="10" t="s">
        <v>2646</v>
      </c>
      <c r="H528" s="10" t="s">
        <v>2647</v>
      </c>
      <c r="I528" s="10"/>
      <c r="J528" s="11" t="s">
        <v>34</v>
      </c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 t="s">
        <v>2648</v>
      </c>
      <c r="B529" s="10" t="s">
        <v>2608</v>
      </c>
      <c r="C529" s="15" t="s">
        <v>211</v>
      </c>
      <c r="D529" s="12" t="s">
        <v>2649</v>
      </c>
      <c r="E529" s="16" t="s">
        <v>2418</v>
      </c>
      <c r="F529" s="10" t="s">
        <v>2419</v>
      </c>
      <c r="G529" s="10" t="s">
        <v>2420</v>
      </c>
      <c r="H529" s="10" t="s">
        <v>2650</v>
      </c>
      <c r="I529" s="10"/>
      <c r="J529" s="11" t="s">
        <v>34</v>
      </c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 t="s">
        <v>2651</v>
      </c>
      <c r="B530" s="10" t="s">
        <v>2608</v>
      </c>
      <c r="C530" s="10" t="s">
        <v>262</v>
      </c>
      <c r="D530" s="12" t="s">
        <v>2652</v>
      </c>
      <c r="E530" s="16" t="s">
        <v>2653</v>
      </c>
      <c r="F530" s="10" t="s">
        <v>2654</v>
      </c>
      <c r="G530" s="10" t="s">
        <v>2655</v>
      </c>
      <c r="H530" s="10"/>
      <c r="I530" s="10"/>
      <c r="J530" s="11" t="s">
        <v>38</v>
      </c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 t="s">
        <v>2656</v>
      </c>
      <c r="B531" s="10" t="s">
        <v>2608</v>
      </c>
      <c r="C531" s="10" t="s">
        <v>262</v>
      </c>
      <c r="D531" s="12" t="s">
        <v>2657</v>
      </c>
      <c r="E531" s="16" t="s">
        <v>2658</v>
      </c>
      <c r="F531" s="10" t="s">
        <v>2659</v>
      </c>
      <c r="G531" s="10" t="s">
        <v>2660</v>
      </c>
      <c r="H531" s="10" t="s">
        <v>2661</v>
      </c>
      <c r="I531" s="10"/>
      <c r="J531" s="11" t="s">
        <v>38</v>
      </c>
      <c r="K531" s="10"/>
      <c r="L531" s="10"/>
      <c r="M531" s="10"/>
      <c r="N531" s="10"/>
      <c r="O531" s="10"/>
      <c r="P531" s="10"/>
      <c r="Q531" s="10" t="s">
        <v>412</v>
      </c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 t="s">
        <v>2662</v>
      </c>
      <c r="B532" s="10" t="s">
        <v>2608</v>
      </c>
      <c r="C532" s="10" t="s">
        <v>262</v>
      </c>
      <c r="D532" s="12" t="s">
        <v>2663</v>
      </c>
      <c r="E532" s="16" t="s">
        <v>2664</v>
      </c>
      <c r="F532" s="10" t="s">
        <v>2665</v>
      </c>
      <c r="G532" s="10" t="s">
        <v>2666</v>
      </c>
      <c r="H532" s="10" t="s">
        <v>2667</v>
      </c>
      <c r="I532" s="10"/>
      <c r="J532" s="11" t="s">
        <v>38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 t="s">
        <v>2668</v>
      </c>
      <c r="B533" s="10" t="s">
        <v>2608</v>
      </c>
      <c r="C533" s="10" t="s">
        <v>262</v>
      </c>
      <c r="D533" s="12" t="s">
        <v>2669</v>
      </c>
      <c r="E533" s="16" t="s">
        <v>2670</v>
      </c>
      <c r="F533" s="10" t="s">
        <v>2671</v>
      </c>
      <c r="G533" s="10" t="s">
        <v>2672</v>
      </c>
      <c r="H533" s="10" t="s">
        <v>2673</v>
      </c>
      <c r="I533" s="10"/>
      <c r="J533" s="11" t="s">
        <v>38</v>
      </c>
      <c r="K533" s="10"/>
      <c r="L533" s="10"/>
      <c r="M533" s="10"/>
      <c r="N533" s="10"/>
      <c r="O533" s="10"/>
      <c r="P533" s="10"/>
      <c r="Q533" s="10" t="s">
        <v>412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 t="s">
        <v>2674</v>
      </c>
      <c r="B534" s="10" t="s">
        <v>2608</v>
      </c>
      <c r="C534" s="10" t="s">
        <v>262</v>
      </c>
      <c r="D534" s="12" t="s">
        <v>2675</v>
      </c>
      <c r="E534" s="16" t="s">
        <v>2676</v>
      </c>
      <c r="F534" s="10" t="s">
        <v>2677</v>
      </c>
      <c r="G534" s="10" t="s">
        <v>2678</v>
      </c>
      <c r="H534" s="10" t="s">
        <v>2679</v>
      </c>
      <c r="I534" s="10"/>
      <c r="J534" s="11" t="s">
        <v>38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 t="s">
        <v>2680</v>
      </c>
      <c r="B535" s="10" t="s">
        <v>2608</v>
      </c>
      <c r="C535" s="11" t="s">
        <v>29</v>
      </c>
      <c r="D535" s="12"/>
      <c r="E535" s="16" t="s">
        <v>2681</v>
      </c>
      <c r="F535" s="10" t="s">
        <v>2682</v>
      </c>
      <c r="G535" s="10" t="s">
        <v>2683</v>
      </c>
      <c r="H535" s="10" t="s">
        <v>2684</v>
      </c>
      <c r="I535" s="10"/>
      <c r="J535" s="11" t="s">
        <v>34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 t="s">
        <v>2685</v>
      </c>
      <c r="B536" s="10" t="s">
        <v>2608</v>
      </c>
      <c r="C536" s="11" t="s">
        <v>29</v>
      </c>
      <c r="D536" s="12" t="s">
        <v>2686</v>
      </c>
      <c r="E536" s="16"/>
      <c r="F536" s="10" t="s">
        <v>2687</v>
      </c>
      <c r="G536" s="10"/>
      <c r="H536" s="10" t="s">
        <v>2688</v>
      </c>
      <c r="I536" s="10"/>
      <c r="J536" s="11" t="s">
        <v>34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 t="s">
        <v>2689</v>
      </c>
      <c r="B537" s="10" t="s">
        <v>2608</v>
      </c>
      <c r="C537" s="11" t="s">
        <v>29</v>
      </c>
      <c r="D537" s="12"/>
      <c r="E537" s="16" t="s">
        <v>2690</v>
      </c>
      <c r="F537" s="10" t="s">
        <v>2691</v>
      </c>
      <c r="G537" s="10" t="s">
        <v>2692</v>
      </c>
      <c r="H537" s="10" t="s">
        <v>2693</v>
      </c>
      <c r="I537" s="10"/>
      <c r="J537" s="11" t="s">
        <v>34</v>
      </c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 t="s">
        <v>2694</v>
      </c>
      <c r="B538" s="10" t="s">
        <v>2608</v>
      </c>
      <c r="C538" s="10" t="s">
        <v>585</v>
      </c>
      <c r="D538" s="12" t="s">
        <v>2695</v>
      </c>
      <c r="E538" s="16" t="s">
        <v>2696</v>
      </c>
      <c r="F538" s="10" t="s">
        <v>2697</v>
      </c>
      <c r="G538" s="10" t="s">
        <v>2698</v>
      </c>
      <c r="H538" s="10" t="s">
        <v>2699</v>
      </c>
      <c r="I538" s="10"/>
      <c r="J538" s="11" t="s">
        <v>38</v>
      </c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 t="s">
        <v>2700</v>
      </c>
      <c r="B539" s="10" t="s">
        <v>2608</v>
      </c>
      <c r="C539" s="11" t="s">
        <v>29</v>
      </c>
      <c r="D539" s="12" t="s">
        <v>2701</v>
      </c>
      <c r="E539" s="16" t="s">
        <v>2702</v>
      </c>
      <c r="F539" s="10" t="s">
        <v>2703</v>
      </c>
      <c r="G539" s="10" t="s">
        <v>2704</v>
      </c>
      <c r="H539" s="10" t="s">
        <v>2705</v>
      </c>
      <c r="I539" s="10"/>
      <c r="J539" s="11" t="s">
        <v>38</v>
      </c>
      <c r="K539" s="10"/>
      <c r="L539" s="10"/>
      <c r="M539" s="10"/>
      <c r="N539" s="10"/>
      <c r="O539" s="10"/>
      <c r="P539" s="10"/>
      <c r="Q539" s="10"/>
      <c r="R539" s="10"/>
      <c r="S539" s="10" t="s">
        <v>412</v>
      </c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 t="s">
        <v>2706</v>
      </c>
      <c r="B540" s="10"/>
      <c r="C540" s="11" t="s">
        <v>29</v>
      </c>
      <c r="D540" s="12" t="s">
        <v>2707</v>
      </c>
      <c r="E540" s="16" t="s">
        <v>2708</v>
      </c>
      <c r="F540" s="10" t="s">
        <v>2709</v>
      </c>
      <c r="G540" s="10" t="s">
        <v>2710</v>
      </c>
      <c r="H540" s="10" t="s">
        <v>2711</v>
      </c>
      <c r="I540" s="10"/>
      <c r="J540" s="11" t="s">
        <v>34</v>
      </c>
      <c r="K540" s="10"/>
      <c r="L540" s="10"/>
      <c r="M540" s="10"/>
      <c r="N540" s="10"/>
      <c r="O540" s="10"/>
      <c r="P540" s="10"/>
      <c r="Q540" s="10" t="s">
        <v>412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 t="s">
        <v>2712</v>
      </c>
      <c r="B541" s="10" t="s">
        <v>2608</v>
      </c>
      <c r="C541" s="10" t="s">
        <v>585</v>
      </c>
      <c r="D541" s="12"/>
      <c r="E541" s="16" t="s">
        <v>2713</v>
      </c>
      <c r="F541" s="10" t="s">
        <v>2714</v>
      </c>
      <c r="G541" s="10" t="s">
        <v>2715</v>
      </c>
      <c r="H541" s="10"/>
      <c r="I541" s="10"/>
      <c r="J541" s="11" t="s">
        <v>38</v>
      </c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 t="s">
        <v>2716</v>
      </c>
      <c r="B542" s="10" t="s">
        <v>2608</v>
      </c>
      <c r="C542" s="10" t="s">
        <v>90</v>
      </c>
      <c r="D542" s="12" t="s">
        <v>2717</v>
      </c>
      <c r="E542" s="16" t="s">
        <v>2718</v>
      </c>
      <c r="F542" s="10" t="s">
        <v>2719</v>
      </c>
      <c r="G542" s="10"/>
      <c r="H542" s="10" t="s">
        <v>2720</v>
      </c>
      <c r="I542" s="10"/>
      <c r="J542" s="11" t="s">
        <v>38</v>
      </c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 t="s">
        <v>2721</v>
      </c>
      <c r="B543" s="10" t="s">
        <v>2608</v>
      </c>
      <c r="C543" s="11" t="s">
        <v>29</v>
      </c>
      <c r="D543" s="12" t="s">
        <v>2722</v>
      </c>
      <c r="E543" s="16">
        <v>5217587.0</v>
      </c>
      <c r="F543" s="10" t="s">
        <v>2723</v>
      </c>
      <c r="G543" s="10" t="s">
        <v>2724</v>
      </c>
      <c r="H543" s="10" t="s">
        <v>2725</v>
      </c>
      <c r="I543" s="10">
        <v>20.0</v>
      </c>
      <c r="J543" s="11" t="s">
        <v>34</v>
      </c>
      <c r="K543" s="11" t="s">
        <v>714</v>
      </c>
      <c r="L543" s="10"/>
      <c r="M543" s="10"/>
      <c r="N543" s="10"/>
      <c r="O543" s="10"/>
      <c r="P543" s="10"/>
      <c r="Q543" s="10" t="s">
        <v>412</v>
      </c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 t="s">
        <v>2726</v>
      </c>
      <c r="B544" s="10" t="s">
        <v>2608</v>
      </c>
      <c r="C544" s="10" t="s">
        <v>2006</v>
      </c>
      <c r="D544" s="12"/>
      <c r="E544" s="16"/>
      <c r="F544" s="10"/>
      <c r="G544" s="10"/>
      <c r="H544" s="10" t="s">
        <v>2667</v>
      </c>
      <c r="I544" s="10"/>
      <c r="J544" s="11" t="s">
        <v>34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 t="s">
        <v>2727</v>
      </c>
      <c r="B545" s="10" t="s">
        <v>2608</v>
      </c>
      <c r="C545" s="11" t="s">
        <v>29</v>
      </c>
      <c r="D545" s="12"/>
      <c r="E545" s="16"/>
      <c r="F545" s="10" t="s">
        <v>2728</v>
      </c>
      <c r="G545" s="10"/>
      <c r="H545" s="10"/>
      <c r="I545" s="10"/>
      <c r="J545" s="11" t="s">
        <v>34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 t="s">
        <v>2729</v>
      </c>
      <c r="B546" s="10" t="s">
        <v>2608</v>
      </c>
      <c r="C546" s="11" t="s">
        <v>29</v>
      </c>
      <c r="D546" s="12"/>
      <c r="E546" s="16"/>
      <c r="F546" s="10" t="s">
        <v>2730</v>
      </c>
      <c r="G546" s="10"/>
      <c r="H546" s="10"/>
      <c r="I546" s="10"/>
      <c r="J546" s="11" t="s">
        <v>34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 t="s">
        <v>2731</v>
      </c>
      <c r="B547" s="10" t="s">
        <v>2608</v>
      </c>
      <c r="C547" s="11" t="s">
        <v>29</v>
      </c>
      <c r="D547" s="12"/>
      <c r="E547" s="16"/>
      <c r="F547" s="10" t="s">
        <v>2732</v>
      </c>
      <c r="G547" s="10"/>
      <c r="H547" s="10"/>
      <c r="I547" s="10"/>
      <c r="J547" s="11" t="s">
        <v>34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 t="s">
        <v>2733</v>
      </c>
      <c r="B548" s="10" t="s">
        <v>2608</v>
      </c>
      <c r="C548" s="11" t="s">
        <v>29</v>
      </c>
      <c r="D548" s="12"/>
      <c r="E548" s="16"/>
      <c r="F548" s="10" t="s">
        <v>2728</v>
      </c>
      <c r="G548" s="10"/>
      <c r="H548" s="10"/>
      <c r="I548" s="10"/>
      <c r="J548" s="11" t="s">
        <v>34</v>
      </c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 t="s">
        <v>2734</v>
      </c>
      <c r="B549" s="10" t="s">
        <v>2608</v>
      </c>
      <c r="C549" s="11" t="s">
        <v>29</v>
      </c>
      <c r="D549" s="12"/>
      <c r="E549" s="16"/>
      <c r="F549" s="10" t="s">
        <v>2735</v>
      </c>
      <c r="G549" s="10"/>
      <c r="H549" s="10"/>
      <c r="I549" s="10"/>
      <c r="J549" s="11" t="s">
        <v>34</v>
      </c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 t="s">
        <v>2736</v>
      </c>
      <c r="B550" s="10" t="s">
        <v>2608</v>
      </c>
      <c r="C550" s="15" t="s">
        <v>29</v>
      </c>
      <c r="D550" s="12"/>
      <c r="E550" s="16"/>
      <c r="F550" s="10" t="s">
        <v>2737</v>
      </c>
      <c r="G550" s="10"/>
      <c r="H550" s="10"/>
      <c r="I550" s="10"/>
      <c r="J550" s="11" t="s">
        <v>34</v>
      </c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 t="s">
        <v>2738</v>
      </c>
      <c r="B551" s="10" t="s">
        <v>2739</v>
      </c>
      <c r="C551" s="11" t="s">
        <v>29</v>
      </c>
      <c r="D551" s="12" t="s">
        <v>2740</v>
      </c>
      <c r="E551" s="16" t="s">
        <v>2741</v>
      </c>
      <c r="F551" s="10" t="s">
        <v>2742</v>
      </c>
      <c r="G551" s="10" t="s">
        <v>2743</v>
      </c>
      <c r="H551" s="10" t="s">
        <v>2744</v>
      </c>
      <c r="I551" s="10"/>
      <c r="J551" s="11" t="s">
        <v>34</v>
      </c>
      <c r="K551" s="11" t="s">
        <v>35</v>
      </c>
      <c r="L551" s="11">
        <v>412.0</v>
      </c>
      <c r="M551" s="10" t="s">
        <v>2745</v>
      </c>
      <c r="N551" s="10"/>
      <c r="O551" s="11" t="s">
        <v>37</v>
      </c>
      <c r="P551" s="11" t="s">
        <v>37</v>
      </c>
      <c r="Q551" s="11" t="s">
        <v>37</v>
      </c>
      <c r="R551" s="10" t="s">
        <v>2746</v>
      </c>
      <c r="S551" s="11" t="s">
        <v>34</v>
      </c>
      <c r="T551" s="11" t="s">
        <v>518</v>
      </c>
      <c r="U551" s="10"/>
      <c r="V551" s="11" t="s">
        <v>34</v>
      </c>
      <c r="W551" s="11" t="s">
        <v>34</v>
      </c>
      <c r="X551" s="11" t="s">
        <v>34</v>
      </c>
      <c r="Y551" s="11" t="s">
        <v>2747</v>
      </c>
      <c r="Z551" s="11" t="s">
        <v>34</v>
      </c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>
      <c r="A552" s="10" t="s">
        <v>2748</v>
      </c>
      <c r="B552" s="10" t="s">
        <v>2739</v>
      </c>
      <c r="C552" s="15" t="s">
        <v>29</v>
      </c>
      <c r="D552" s="12" t="s">
        <v>2749</v>
      </c>
      <c r="E552" s="16" t="s">
        <v>2750</v>
      </c>
      <c r="F552" s="10" t="s">
        <v>2751</v>
      </c>
      <c r="G552" s="10" t="s">
        <v>2752</v>
      </c>
      <c r="H552" s="10" t="s">
        <v>2753</v>
      </c>
      <c r="I552" s="11">
        <v>250.0</v>
      </c>
      <c r="J552" s="11" t="s">
        <v>34</v>
      </c>
      <c r="K552" s="11" t="s">
        <v>35</v>
      </c>
      <c r="L552" s="11">
        <v>220.0</v>
      </c>
      <c r="M552" s="11" t="s">
        <v>2754</v>
      </c>
      <c r="N552" s="11">
        <v>30.0</v>
      </c>
      <c r="O552" s="11" t="s">
        <v>37</v>
      </c>
      <c r="P552" s="23" t="s">
        <v>37</v>
      </c>
      <c r="Q552" s="11" t="s">
        <v>37</v>
      </c>
      <c r="R552" s="10"/>
      <c r="S552" s="11" t="s">
        <v>34</v>
      </c>
      <c r="T552" s="11" t="s">
        <v>518</v>
      </c>
      <c r="U552" s="11" t="s">
        <v>2755</v>
      </c>
      <c r="V552" s="11" t="s">
        <v>34</v>
      </c>
      <c r="W552" s="11" t="s">
        <v>34</v>
      </c>
      <c r="X552" s="11" t="s">
        <v>34</v>
      </c>
      <c r="Y552" s="11" t="s">
        <v>2747</v>
      </c>
      <c r="Z552" s="11" t="s">
        <v>37</v>
      </c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 t="s">
        <v>2756</v>
      </c>
      <c r="B553" s="10" t="s">
        <v>2739</v>
      </c>
      <c r="C553" s="15" t="s">
        <v>29</v>
      </c>
      <c r="D553" s="12" t="s">
        <v>2757</v>
      </c>
      <c r="E553" s="16" t="s">
        <v>2758</v>
      </c>
      <c r="F553" s="10" t="s">
        <v>2759</v>
      </c>
      <c r="G553" s="10" t="s">
        <v>2760</v>
      </c>
      <c r="H553" s="10" t="s">
        <v>2761</v>
      </c>
      <c r="I553" s="11">
        <v>200.0</v>
      </c>
      <c r="J553" s="11" t="s">
        <v>34</v>
      </c>
      <c r="K553" s="11" t="s">
        <v>35</v>
      </c>
      <c r="L553" s="11">
        <v>180.0</v>
      </c>
      <c r="M553" s="11" t="s">
        <v>2754</v>
      </c>
      <c r="N553" s="11">
        <v>20.0</v>
      </c>
      <c r="O553" s="11" t="s">
        <v>37</v>
      </c>
      <c r="P553" s="11" t="s">
        <v>37</v>
      </c>
      <c r="Q553" s="11" t="s">
        <v>37</v>
      </c>
      <c r="R553" s="10"/>
      <c r="S553" s="11" t="s">
        <v>34</v>
      </c>
      <c r="T553" s="11" t="s">
        <v>518</v>
      </c>
      <c r="U553" s="10"/>
      <c r="V553" s="11" t="s">
        <v>34</v>
      </c>
      <c r="W553" s="11" t="s">
        <v>34</v>
      </c>
      <c r="X553" s="11" t="s">
        <v>34</v>
      </c>
      <c r="Y553" s="11" t="s">
        <v>2747</v>
      </c>
      <c r="Z553" s="11" t="s">
        <v>37</v>
      </c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 t="s">
        <v>2762</v>
      </c>
      <c r="B554" s="10" t="s">
        <v>2739</v>
      </c>
      <c r="C554" s="11" t="s">
        <v>29</v>
      </c>
      <c r="D554" s="12" t="s">
        <v>2763</v>
      </c>
      <c r="E554" s="16" t="s">
        <v>2764</v>
      </c>
      <c r="F554" s="10" t="s">
        <v>2765</v>
      </c>
      <c r="G554" s="10" t="s">
        <v>2766</v>
      </c>
      <c r="H554" s="10" t="s">
        <v>2767</v>
      </c>
      <c r="I554" s="11">
        <v>200.0</v>
      </c>
      <c r="J554" s="11" t="s">
        <v>34</v>
      </c>
      <c r="K554" s="11" t="s">
        <v>35</v>
      </c>
      <c r="L554" s="11">
        <v>180.0</v>
      </c>
      <c r="M554" s="11" t="s">
        <v>2768</v>
      </c>
      <c r="N554" s="11">
        <v>20.0</v>
      </c>
      <c r="O554" s="11" t="s">
        <v>37</v>
      </c>
      <c r="P554" s="11" t="s">
        <v>37</v>
      </c>
      <c r="Q554" s="11" t="s">
        <v>37</v>
      </c>
      <c r="R554" s="10"/>
      <c r="S554" s="11" t="s">
        <v>38</v>
      </c>
      <c r="T554" s="11"/>
      <c r="U554" s="10"/>
      <c r="V554" s="11" t="s">
        <v>34</v>
      </c>
      <c r="W554" s="11" t="s">
        <v>34</v>
      </c>
      <c r="X554" s="11" t="s">
        <v>34</v>
      </c>
      <c r="Y554" s="11" t="s">
        <v>2747</v>
      </c>
      <c r="Z554" s="11" t="s">
        <v>38</v>
      </c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 t="s">
        <v>2769</v>
      </c>
      <c r="B555" s="10" t="s">
        <v>2739</v>
      </c>
      <c r="C555" s="11" t="s">
        <v>79</v>
      </c>
      <c r="D555" s="12" t="s">
        <v>2763</v>
      </c>
      <c r="E555" s="16" t="s">
        <v>2770</v>
      </c>
      <c r="F555" s="10" t="s">
        <v>2771</v>
      </c>
      <c r="G555" s="10" t="s">
        <v>2772</v>
      </c>
      <c r="H555" s="10" t="s">
        <v>2773</v>
      </c>
      <c r="I555" s="11">
        <v>30.0</v>
      </c>
      <c r="J555" s="11" t="s">
        <v>34</v>
      </c>
      <c r="K555" s="11" t="s">
        <v>543</v>
      </c>
      <c r="L555" s="11">
        <v>30.0</v>
      </c>
      <c r="M555" s="11" t="s">
        <v>77</v>
      </c>
      <c r="N555" s="11" t="s">
        <v>77</v>
      </c>
      <c r="O555" s="11" t="s">
        <v>77</v>
      </c>
      <c r="P555" s="11" t="s">
        <v>77</v>
      </c>
      <c r="Q555" s="11" t="s">
        <v>77</v>
      </c>
      <c r="R555" s="10"/>
      <c r="S555" s="11" t="s">
        <v>38</v>
      </c>
      <c r="T555" s="10"/>
      <c r="U555" s="10"/>
      <c r="V555" s="11" t="s">
        <v>38</v>
      </c>
      <c r="W555" s="11" t="s">
        <v>34</v>
      </c>
      <c r="X555" s="11" t="s">
        <v>34</v>
      </c>
      <c r="Y555" s="11" t="s">
        <v>519</v>
      </c>
      <c r="Z555" s="11" t="s">
        <v>38</v>
      </c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 t="s">
        <v>2774</v>
      </c>
      <c r="B556" s="10" t="s">
        <v>2739</v>
      </c>
      <c r="C556" s="10" t="s">
        <v>29</v>
      </c>
      <c r="D556" s="12" t="s">
        <v>2763</v>
      </c>
      <c r="E556" s="16" t="s">
        <v>2775</v>
      </c>
      <c r="F556" s="10" t="s">
        <v>2776</v>
      </c>
      <c r="G556" s="10" t="s">
        <v>2763</v>
      </c>
      <c r="H556" s="10" t="s">
        <v>2777</v>
      </c>
      <c r="I556" s="11">
        <v>100.0</v>
      </c>
      <c r="J556" s="11" t="s">
        <v>34</v>
      </c>
      <c r="K556" s="11" t="s">
        <v>543</v>
      </c>
      <c r="L556" s="11">
        <v>100.0</v>
      </c>
      <c r="M556" s="11" t="s">
        <v>77</v>
      </c>
      <c r="N556" s="11" t="s">
        <v>77</v>
      </c>
      <c r="O556" s="11" t="s">
        <v>37</v>
      </c>
      <c r="P556" s="11" t="s">
        <v>37</v>
      </c>
      <c r="Q556" s="11" t="s">
        <v>37</v>
      </c>
      <c r="R556" s="10"/>
      <c r="S556" s="11" t="s">
        <v>38</v>
      </c>
      <c r="T556" s="10"/>
      <c r="U556" s="10"/>
      <c r="V556" s="11" t="s">
        <v>38</v>
      </c>
      <c r="W556" s="11" t="s">
        <v>34</v>
      </c>
      <c r="X556" s="11" t="s">
        <v>34</v>
      </c>
      <c r="Y556" s="11" t="s">
        <v>2747</v>
      </c>
      <c r="Z556" s="11" t="s">
        <v>38</v>
      </c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 t="s">
        <v>2778</v>
      </c>
      <c r="B557" s="10" t="s">
        <v>2739</v>
      </c>
      <c r="C557" s="10" t="s">
        <v>90</v>
      </c>
      <c r="D557" s="12" t="s">
        <v>2779</v>
      </c>
      <c r="E557" s="16" t="s">
        <v>2780</v>
      </c>
      <c r="F557" s="10" t="s">
        <v>2781</v>
      </c>
      <c r="G557" s="10" t="s">
        <v>2782</v>
      </c>
      <c r="H557" s="10" t="s">
        <v>2783</v>
      </c>
      <c r="I557" s="11">
        <v>80.0</v>
      </c>
      <c r="J557" s="11" t="s">
        <v>34</v>
      </c>
      <c r="K557" s="11" t="s">
        <v>35</v>
      </c>
      <c r="L557" s="11">
        <v>40.0</v>
      </c>
      <c r="M557" s="10"/>
      <c r="N557" s="11">
        <v>40.0</v>
      </c>
      <c r="O557" s="11" t="s">
        <v>37</v>
      </c>
      <c r="P557" s="11" t="s">
        <v>37</v>
      </c>
      <c r="Q557" s="11" t="s">
        <v>37</v>
      </c>
      <c r="R557" s="10"/>
      <c r="S557" s="11" t="s">
        <v>34</v>
      </c>
      <c r="T557" s="11" t="s">
        <v>518</v>
      </c>
      <c r="U557" s="10"/>
      <c r="V557" s="11" t="s">
        <v>34</v>
      </c>
      <c r="W557" s="11" t="s">
        <v>34</v>
      </c>
      <c r="X557" s="11" t="s">
        <v>34</v>
      </c>
      <c r="Y557" s="11" t="s">
        <v>2747</v>
      </c>
      <c r="Z557" s="11" t="s">
        <v>2148</v>
      </c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 t="s">
        <v>2784</v>
      </c>
      <c r="B558" s="10" t="s">
        <v>2739</v>
      </c>
      <c r="C558" s="15" t="s">
        <v>112</v>
      </c>
      <c r="D558" s="12" t="s">
        <v>2785</v>
      </c>
      <c r="E558" s="16" t="s">
        <v>2786</v>
      </c>
      <c r="F558" s="10" t="s">
        <v>2787</v>
      </c>
      <c r="G558" s="10" t="s">
        <v>2788</v>
      </c>
      <c r="H558" s="10" t="s">
        <v>2789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1" t="s">
        <v>34</v>
      </c>
      <c r="X558" s="11" t="s">
        <v>34</v>
      </c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 t="s">
        <v>2790</v>
      </c>
      <c r="B559" s="10" t="s">
        <v>2739</v>
      </c>
      <c r="C559" s="15" t="s">
        <v>112</v>
      </c>
      <c r="D559" s="12" t="s">
        <v>2763</v>
      </c>
      <c r="E559" s="16" t="s">
        <v>2791</v>
      </c>
      <c r="F559" s="10" t="s">
        <v>2792</v>
      </c>
      <c r="G559" s="10" t="s">
        <v>2793</v>
      </c>
      <c r="H559" s="10" t="s">
        <v>2794</v>
      </c>
      <c r="I559" s="11">
        <v>100.0</v>
      </c>
      <c r="J559" s="11" t="s">
        <v>34</v>
      </c>
      <c r="K559" s="11" t="s">
        <v>543</v>
      </c>
      <c r="L559" s="11">
        <v>80.0</v>
      </c>
      <c r="M559" s="10"/>
      <c r="N559" s="11" t="s">
        <v>77</v>
      </c>
      <c r="O559" s="11" t="s">
        <v>37</v>
      </c>
      <c r="P559" s="11" t="s">
        <v>37</v>
      </c>
      <c r="Q559" s="11" t="s">
        <v>37</v>
      </c>
      <c r="R559" s="10"/>
      <c r="S559" s="11" t="s">
        <v>34</v>
      </c>
      <c r="T559" s="11" t="s">
        <v>518</v>
      </c>
      <c r="U559" s="10"/>
      <c r="V559" s="11" t="s">
        <v>38</v>
      </c>
      <c r="W559" s="11" t="s">
        <v>34</v>
      </c>
      <c r="X559" s="11" t="s">
        <v>34</v>
      </c>
      <c r="Y559" s="11" t="s">
        <v>2747</v>
      </c>
      <c r="Z559" s="11" t="s">
        <v>38</v>
      </c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 t="s">
        <v>2795</v>
      </c>
      <c r="B560" s="10" t="s">
        <v>2739</v>
      </c>
      <c r="C560" s="15" t="s">
        <v>112</v>
      </c>
      <c r="D560" s="12" t="s">
        <v>2763</v>
      </c>
      <c r="E560" s="16" t="s">
        <v>2796</v>
      </c>
      <c r="F560" s="10" t="s">
        <v>2797</v>
      </c>
      <c r="G560" s="10" t="s">
        <v>2798</v>
      </c>
      <c r="H560" s="10" t="s">
        <v>2799</v>
      </c>
      <c r="I560" s="11">
        <v>30.0</v>
      </c>
      <c r="J560" s="11" t="s">
        <v>34</v>
      </c>
      <c r="K560" s="11" t="s">
        <v>35</v>
      </c>
      <c r="L560" s="11">
        <v>30.0</v>
      </c>
      <c r="M560" s="11" t="s">
        <v>77</v>
      </c>
      <c r="N560" s="11" t="s">
        <v>77</v>
      </c>
      <c r="O560" s="11" t="s">
        <v>77</v>
      </c>
      <c r="P560" s="11" t="s">
        <v>77</v>
      </c>
      <c r="Q560" s="11" t="s">
        <v>77</v>
      </c>
      <c r="R560" s="10"/>
      <c r="S560" s="11" t="s">
        <v>34</v>
      </c>
      <c r="T560" s="11" t="s">
        <v>518</v>
      </c>
      <c r="U560" s="10"/>
      <c r="V560" s="11" t="s">
        <v>38</v>
      </c>
      <c r="W560" s="11" t="s">
        <v>34</v>
      </c>
      <c r="X560" s="11" t="s">
        <v>34</v>
      </c>
      <c r="Y560" s="11" t="s">
        <v>519</v>
      </c>
      <c r="Z560" s="11" t="s">
        <v>38</v>
      </c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 t="s">
        <v>2800</v>
      </c>
      <c r="B561" s="10" t="s">
        <v>2739</v>
      </c>
      <c r="C561" s="15" t="s">
        <v>112</v>
      </c>
      <c r="D561" s="12" t="s">
        <v>2763</v>
      </c>
      <c r="E561" s="16" t="s">
        <v>2801</v>
      </c>
      <c r="F561" s="10" t="s">
        <v>2802</v>
      </c>
      <c r="G561" s="10" t="s">
        <v>2803</v>
      </c>
      <c r="H561" s="10" t="s">
        <v>2804</v>
      </c>
      <c r="I561" s="10"/>
      <c r="J561" s="10"/>
      <c r="K561" s="10"/>
      <c r="L561" s="10"/>
      <c r="M561" s="11" t="s">
        <v>77</v>
      </c>
      <c r="N561" s="11" t="s">
        <v>77</v>
      </c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 t="s">
        <v>2805</v>
      </c>
      <c r="B562" s="10" t="s">
        <v>2739</v>
      </c>
      <c r="C562" s="15" t="s">
        <v>112</v>
      </c>
      <c r="D562" s="12" t="s">
        <v>2763</v>
      </c>
      <c r="E562" s="16" t="s">
        <v>2806</v>
      </c>
      <c r="F562" s="10" t="s">
        <v>2807</v>
      </c>
      <c r="G562" s="10" t="s">
        <v>2808</v>
      </c>
      <c r="H562" s="10" t="s">
        <v>2809</v>
      </c>
      <c r="I562" s="10"/>
      <c r="J562" s="10"/>
      <c r="K562" s="10"/>
      <c r="L562" s="10"/>
      <c r="M562" s="11" t="s">
        <v>77</v>
      </c>
      <c r="N562" s="11" t="s">
        <v>77</v>
      </c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 t="s">
        <v>2810</v>
      </c>
      <c r="B563" s="10" t="s">
        <v>2739</v>
      </c>
      <c r="C563" s="15" t="s">
        <v>112</v>
      </c>
      <c r="D563" s="12" t="s">
        <v>2763</v>
      </c>
      <c r="E563" s="16" t="s">
        <v>2811</v>
      </c>
      <c r="F563" s="10" t="s">
        <v>2812</v>
      </c>
      <c r="G563" s="10" t="s">
        <v>2813</v>
      </c>
      <c r="H563" s="10" t="s">
        <v>2753</v>
      </c>
      <c r="I563" s="11">
        <v>30.0</v>
      </c>
      <c r="J563" s="11" t="s">
        <v>34</v>
      </c>
      <c r="K563" s="11" t="s">
        <v>35</v>
      </c>
      <c r="L563" s="11">
        <v>30.0</v>
      </c>
      <c r="M563" s="11" t="s">
        <v>77</v>
      </c>
      <c r="N563" s="11" t="s">
        <v>77</v>
      </c>
      <c r="O563" s="11" t="s">
        <v>77</v>
      </c>
      <c r="P563" s="11" t="s">
        <v>77</v>
      </c>
      <c r="Q563" s="11" t="s">
        <v>77</v>
      </c>
      <c r="R563" s="10"/>
      <c r="S563" s="11" t="s">
        <v>34</v>
      </c>
      <c r="T563" s="11" t="s">
        <v>518</v>
      </c>
      <c r="U563" s="10"/>
      <c r="V563" s="11" t="s">
        <v>34</v>
      </c>
      <c r="W563" s="11" t="s">
        <v>34</v>
      </c>
      <c r="X563" s="11" t="s">
        <v>34</v>
      </c>
      <c r="Y563" s="11" t="s">
        <v>519</v>
      </c>
      <c r="Z563" s="11" t="s">
        <v>38</v>
      </c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 t="s">
        <v>2814</v>
      </c>
      <c r="B564" s="10" t="s">
        <v>2739</v>
      </c>
      <c r="C564" s="15" t="s">
        <v>112</v>
      </c>
      <c r="D564" s="12" t="s">
        <v>2763</v>
      </c>
      <c r="E564" s="16" t="s">
        <v>2815</v>
      </c>
      <c r="F564" s="10" t="s">
        <v>2816</v>
      </c>
      <c r="G564" s="10" t="s">
        <v>2817</v>
      </c>
      <c r="H564" s="10" t="s">
        <v>2818</v>
      </c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1" t="s">
        <v>34</v>
      </c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 t="s">
        <v>2819</v>
      </c>
      <c r="B565" s="10" t="s">
        <v>2739</v>
      </c>
      <c r="C565" s="15" t="s">
        <v>112</v>
      </c>
      <c r="D565" s="12" t="s">
        <v>2763</v>
      </c>
      <c r="E565" s="16" t="s">
        <v>2820</v>
      </c>
      <c r="F565" s="10" t="s">
        <v>2821</v>
      </c>
      <c r="G565" s="10" t="s">
        <v>2822</v>
      </c>
      <c r="H565" s="10" t="s">
        <v>2823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 t="s">
        <v>34</v>
      </c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 t="s">
        <v>2824</v>
      </c>
      <c r="B566" s="10" t="s">
        <v>2739</v>
      </c>
      <c r="C566" s="15" t="s">
        <v>112</v>
      </c>
      <c r="D566" s="12" t="s">
        <v>2825</v>
      </c>
      <c r="E566" s="16" t="s">
        <v>2826</v>
      </c>
      <c r="F566" s="10" t="s">
        <v>2827</v>
      </c>
      <c r="G566" s="10" t="s">
        <v>2828</v>
      </c>
      <c r="H566" s="10" t="s">
        <v>2829</v>
      </c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1" t="s">
        <v>34</v>
      </c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 t="s">
        <v>2830</v>
      </c>
      <c r="B567" s="10" t="s">
        <v>2739</v>
      </c>
      <c r="C567" s="15" t="s">
        <v>112</v>
      </c>
      <c r="D567" s="12" t="s">
        <v>2763</v>
      </c>
      <c r="E567" s="16" t="s">
        <v>2831</v>
      </c>
      <c r="F567" s="10" t="s">
        <v>2832</v>
      </c>
      <c r="G567" s="10" t="s">
        <v>2833</v>
      </c>
      <c r="H567" s="10" t="s">
        <v>2834</v>
      </c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1" t="s">
        <v>34</v>
      </c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 t="s">
        <v>2835</v>
      </c>
      <c r="B568" s="10" t="s">
        <v>2739</v>
      </c>
      <c r="C568" s="15" t="s">
        <v>211</v>
      </c>
      <c r="D568" s="12"/>
      <c r="E568" s="16" t="s">
        <v>2836</v>
      </c>
      <c r="F568" s="10" t="s">
        <v>2837</v>
      </c>
      <c r="G568" s="10" t="s">
        <v>2838</v>
      </c>
      <c r="H568" s="10" t="s">
        <v>2839</v>
      </c>
      <c r="I568" s="10"/>
      <c r="J568" s="10"/>
      <c r="K568" s="10"/>
      <c r="L568" s="10"/>
      <c r="M568" s="10"/>
      <c r="N568" s="22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 t="s">
        <v>2840</v>
      </c>
      <c r="B569" s="10" t="s">
        <v>2739</v>
      </c>
      <c r="C569" s="15" t="s">
        <v>211</v>
      </c>
      <c r="D569" s="12"/>
      <c r="E569" s="16" t="s">
        <v>2841</v>
      </c>
      <c r="F569" s="10" t="s">
        <v>2763</v>
      </c>
      <c r="G569" s="10" t="s">
        <v>2842</v>
      </c>
      <c r="H569" s="10" t="s">
        <v>2843</v>
      </c>
      <c r="I569" s="10"/>
      <c r="J569" s="10"/>
      <c r="K569" s="10"/>
      <c r="L569" s="10"/>
      <c r="M569" s="10"/>
      <c r="N569" s="22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 t="s">
        <v>2844</v>
      </c>
      <c r="B570" s="10" t="s">
        <v>2739</v>
      </c>
      <c r="C570" s="15" t="s">
        <v>211</v>
      </c>
      <c r="D570" s="12" t="s">
        <v>2845</v>
      </c>
      <c r="E570" s="16" t="s">
        <v>2846</v>
      </c>
      <c r="F570" s="10" t="s">
        <v>2847</v>
      </c>
      <c r="G570" s="10" t="s">
        <v>2848</v>
      </c>
      <c r="H570" s="10" t="s">
        <v>2849</v>
      </c>
      <c r="I570" s="10"/>
      <c r="J570" s="10"/>
      <c r="K570" s="10"/>
      <c r="L570" s="10"/>
      <c r="M570" s="10"/>
      <c r="N570" s="22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 t="s">
        <v>2850</v>
      </c>
      <c r="B571" s="10" t="s">
        <v>2739</v>
      </c>
      <c r="C571" s="15" t="s">
        <v>211</v>
      </c>
      <c r="D571" s="12"/>
      <c r="E571" s="16" t="s">
        <v>2851</v>
      </c>
      <c r="F571" s="10" t="s">
        <v>2852</v>
      </c>
      <c r="G571" s="10" t="s">
        <v>2853</v>
      </c>
      <c r="H571" s="10" t="s">
        <v>2854</v>
      </c>
      <c r="I571" s="10"/>
      <c r="J571" s="10"/>
      <c r="K571" s="10"/>
      <c r="L571" s="10"/>
      <c r="M571" s="10"/>
      <c r="N571" s="22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 t="s">
        <v>2855</v>
      </c>
      <c r="B572" s="10" t="s">
        <v>2739</v>
      </c>
      <c r="C572" s="15" t="s">
        <v>211</v>
      </c>
      <c r="D572" s="12"/>
      <c r="E572" s="16" t="s">
        <v>1550</v>
      </c>
      <c r="F572" s="10" t="s">
        <v>1551</v>
      </c>
      <c r="G572" s="10" t="s">
        <v>1534</v>
      </c>
      <c r="H572" s="10" t="s">
        <v>2856</v>
      </c>
      <c r="I572" s="10"/>
      <c r="J572" s="10"/>
      <c r="K572" s="10"/>
      <c r="L572" s="10"/>
      <c r="M572" s="10"/>
      <c r="N572" s="22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 t="s">
        <v>2857</v>
      </c>
      <c r="B573" s="10" t="s">
        <v>2739</v>
      </c>
      <c r="C573" s="15" t="s">
        <v>211</v>
      </c>
      <c r="D573" s="12"/>
      <c r="E573" s="16" t="s">
        <v>2858</v>
      </c>
      <c r="F573" s="10" t="s">
        <v>2859</v>
      </c>
      <c r="G573" s="10" t="s">
        <v>2860</v>
      </c>
      <c r="H573" s="10" t="s">
        <v>2861</v>
      </c>
      <c r="I573" s="10"/>
      <c r="J573" s="10"/>
      <c r="K573" s="10"/>
      <c r="L573" s="10"/>
      <c r="M573" s="10"/>
      <c r="N573" s="22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 t="s">
        <v>2862</v>
      </c>
      <c r="B574" s="10" t="s">
        <v>2739</v>
      </c>
      <c r="C574" s="15" t="s">
        <v>211</v>
      </c>
      <c r="D574" s="12"/>
      <c r="E574" s="16" t="s">
        <v>2863</v>
      </c>
      <c r="F574" s="10" t="s">
        <v>2864</v>
      </c>
      <c r="G574" s="10" t="s">
        <v>2865</v>
      </c>
      <c r="H574" s="10" t="s">
        <v>2866</v>
      </c>
      <c r="I574" s="10"/>
      <c r="J574" s="10"/>
      <c r="K574" s="10"/>
      <c r="L574" s="10"/>
      <c r="M574" s="10"/>
      <c r="N574" s="22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 t="s">
        <v>2867</v>
      </c>
      <c r="B575" s="10" t="s">
        <v>2739</v>
      </c>
      <c r="C575" s="15" t="s">
        <v>211</v>
      </c>
      <c r="D575" s="12"/>
      <c r="E575" s="16" t="s">
        <v>2868</v>
      </c>
      <c r="F575" s="10" t="s">
        <v>2869</v>
      </c>
      <c r="G575" s="10" t="s">
        <v>2870</v>
      </c>
      <c r="H575" s="10" t="s">
        <v>2871</v>
      </c>
      <c r="I575" s="10"/>
      <c r="J575" s="10"/>
      <c r="K575" s="10"/>
      <c r="L575" s="10"/>
      <c r="M575" s="10"/>
      <c r="N575" s="22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 t="s">
        <v>2872</v>
      </c>
      <c r="B576" s="10" t="s">
        <v>2739</v>
      </c>
      <c r="C576" s="10" t="s">
        <v>262</v>
      </c>
      <c r="D576" s="12" t="s">
        <v>2873</v>
      </c>
      <c r="E576" s="16" t="s">
        <v>2874</v>
      </c>
      <c r="F576" s="10" t="s">
        <v>2875</v>
      </c>
      <c r="G576" s="10" t="s">
        <v>2876</v>
      </c>
      <c r="H576" s="10" t="s">
        <v>2877</v>
      </c>
      <c r="I576" s="10"/>
      <c r="J576" s="10"/>
      <c r="K576" s="11" t="s">
        <v>35</v>
      </c>
      <c r="L576" s="10"/>
      <c r="M576" s="10"/>
      <c r="N576" s="22"/>
      <c r="O576" s="11" t="s">
        <v>37</v>
      </c>
      <c r="P576" s="11" t="s">
        <v>37</v>
      </c>
      <c r="Q576" s="11" t="s">
        <v>37</v>
      </c>
      <c r="R576" s="10"/>
      <c r="S576" s="10"/>
      <c r="T576" s="10"/>
      <c r="U576" s="10"/>
      <c r="V576" s="10"/>
      <c r="W576" s="11" t="s">
        <v>34</v>
      </c>
      <c r="X576" s="11" t="s">
        <v>34</v>
      </c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 t="s">
        <v>2878</v>
      </c>
      <c r="B577" s="10" t="s">
        <v>2739</v>
      </c>
      <c r="C577" s="10" t="s">
        <v>262</v>
      </c>
      <c r="D577" s="12"/>
      <c r="E577" s="16" t="s">
        <v>2879</v>
      </c>
      <c r="F577" s="10" t="s">
        <v>2880</v>
      </c>
      <c r="G577" s="10" t="s">
        <v>2881</v>
      </c>
      <c r="H577" s="10" t="s">
        <v>2882</v>
      </c>
      <c r="I577" s="10"/>
      <c r="J577" s="10"/>
      <c r="K577" s="10"/>
      <c r="L577" s="10"/>
      <c r="M577" s="10"/>
      <c r="N577" s="22"/>
      <c r="O577" s="10"/>
      <c r="P577" s="10"/>
      <c r="Q577" s="10"/>
      <c r="R577" s="10"/>
      <c r="S577" s="10"/>
      <c r="T577" s="10"/>
      <c r="U577" s="10"/>
      <c r="V577" s="10"/>
      <c r="W577" s="10"/>
      <c r="X577" s="11" t="s">
        <v>34</v>
      </c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 t="s">
        <v>2883</v>
      </c>
      <c r="B578" s="10" t="s">
        <v>2739</v>
      </c>
      <c r="C578" s="10" t="s">
        <v>262</v>
      </c>
      <c r="D578" s="12"/>
      <c r="E578" s="16" t="s">
        <v>2884</v>
      </c>
      <c r="F578" s="10" t="s">
        <v>2885</v>
      </c>
      <c r="G578" s="10" t="s">
        <v>2886</v>
      </c>
      <c r="H578" s="10" t="s">
        <v>2887</v>
      </c>
      <c r="I578" s="10"/>
      <c r="J578" s="10"/>
      <c r="K578" s="10"/>
      <c r="L578" s="10"/>
      <c r="M578" s="10"/>
      <c r="N578" s="22"/>
      <c r="O578" s="10"/>
      <c r="P578" s="10"/>
      <c r="Q578" s="10"/>
      <c r="R578" s="10"/>
      <c r="S578" s="10"/>
      <c r="T578" s="10"/>
      <c r="U578" s="10"/>
      <c r="V578" s="10"/>
      <c r="W578" s="10"/>
      <c r="X578" s="11" t="s">
        <v>34</v>
      </c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 t="s">
        <v>2888</v>
      </c>
      <c r="B579" s="10" t="s">
        <v>2739</v>
      </c>
      <c r="C579" s="10" t="s">
        <v>262</v>
      </c>
      <c r="D579" s="12"/>
      <c r="E579" s="16" t="s">
        <v>2889</v>
      </c>
      <c r="F579" s="10" t="s">
        <v>2890</v>
      </c>
      <c r="G579" s="10" t="s">
        <v>2891</v>
      </c>
      <c r="H579" s="10" t="s">
        <v>2892</v>
      </c>
      <c r="I579" s="10"/>
      <c r="J579" s="10"/>
      <c r="K579" s="10"/>
      <c r="L579" s="10"/>
      <c r="M579" s="10"/>
      <c r="N579" s="22"/>
      <c r="O579" s="10"/>
      <c r="P579" s="10"/>
      <c r="Q579" s="10"/>
      <c r="R579" s="10"/>
      <c r="S579" s="10"/>
      <c r="T579" s="10"/>
      <c r="U579" s="10"/>
      <c r="V579" s="10"/>
      <c r="W579" s="10"/>
      <c r="X579" s="11" t="s">
        <v>34</v>
      </c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 t="s">
        <v>2893</v>
      </c>
      <c r="B580" s="10" t="s">
        <v>2739</v>
      </c>
      <c r="C580" s="10" t="s">
        <v>262</v>
      </c>
      <c r="D580" s="17" t="s">
        <v>2894</v>
      </c>
      <c r="E580" s="16" t="s">
        <v>2895</v>
      </c>
      <c r="F580" s="10" t="s">
        <v>2896</v>
      </c>
      <c r="G580" s="10" t="s">
        <v>2897</v>
      </c>
      <c r="H580" s="10" t="s">
        <v>2898</v>
      </c>
      <c r="I580" s="10"/>
      <c r="J580" s="10"/>
      <c r="K580" s="10"/>
      <c r="L580" s="10"/>
      <c r="M580" s="10"/>
      <c r="N580" s="22"/>
      <c r="O580" s="10"/>
      <c r="P580" s="10"/>
      <c r="Q580" s="10"/>
      <c r="R580" s="10"/>
      <c r="S580" s="10"/>
      <c r="T580" s="10"/>
      <c r="U580" s="10"/>
      <c r="V580" s="10"/>
      <c r="W580" s="10"/>
      <c r="X580" s="11" t="s">
        <v>34</v>
      </c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 t="s">
        <v>2899</v>
      </c>
      <c r="B581" s="10" t="s">
        <v>2739</v>
      </c>
      <c r="C581" s="10" t="s">
        <v>388</v>
      </c>
      <c r="D581" s="12" t="s">
        <v>2900</v>
      </c>
      <c r="E581" s="16" t="s">
        <v>2901</v>
      </c>
      <c r="F581" s="10" t="s">
        <v>2902</v>
      </c>
      <c r="G581" s="10"/>
      <c r="H581" s="10" t="s">
        <v>2903</v>
      </c>
      <c r="I581" s="10"/>
      <c r="J581" s="11" t="s">
        <v>34</v>
      </c>
      <c r="K581" s="10"/>
      <c r="L581" s="10" t="s">
        <v>2904</v>
      </c>
      <c r="M581" s="10"/>
      <c r="N581" s="22"/>
      <c r="O581" s="10"/>
      <c r="P581" s="10"/>
      <c r="Q581" s="10"/>
      <c r="R581" s="10"/>
      <c r="S581" s="10"/>
      <c r="T581" s="10"/>
      <c r="U581" s="10"/>
      <c r="V581" s="10"/>
      <c r="W581" s="10"/>
      <c r="X581" s="11" t="s">
        <v>34</v>
      </c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 t="s">
        <v>2905</v>
      </c>
      <c r="B582" s="10" t="s">
        <v>2739</v>
      </c>
      <c r="C582" s="10" t="s">
        <v>250</v>
      </c>
      <c r="D582" s="12" t="s">
        <v>2906</v>
      </c>
      <c r="E582" s="16" t="s">
        <v>2907</v>
      </c>
      <c r="F582" s="10"/>
      <c r="G582" s="10"/>
      <c r="H582" s="10" t="s">
        <v>2908</v>
      </c>
      <c r="I582" s="10"/>
      <c r="J582" s="10"/>
      <c r="K582" s="10"/>
      <c r="L582" s="10"/>
      <c r="M582" s="10"/>
      <c r="N582" s="22"/>
      <c r="O582" s="10"/>
      <c r="P582" s="10"/>
      <c r="Q582" s="10"/>
      <c r="R582" s="10"/>
      <c r="S582" s="10"/>
      <c r="T582" s="10"/>
      <c r="U582" s="10"/>
      <c r="V582" s="10"/>
      <c r="W582" s="10"/>
      <c r="X582" s="11" t="s">
        <v>34</v>
      </c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 t="s">
        <v>2909</v>
      </c>
      <c r="B583" s="10" t="s">
        <v>2739</v>
      </c>
      <c r="C583" s="15" t="s">
        <v>400</v>
      </c>
      <c r="D583" s="12"/>
      <c r="E583" s="16" t="s">
        <v>2910</v>
      </c>
      <c r="F583" s="10" t="s">
        <v>2911</v>
      </c>
      <c r="G583" s="10"/>
      <c r="H583" s="10" t="s">
        <v>2912</v>
      </c>
      <c r="I583" s="10"/>
      <c r="J583" s="10"/>
      <c r="K583" s="10"/>
      <c r="L583" s="10"/>
      <c r="M583" s="10"/>
      <c r="N583" s="22"/>
      <c r="O583" s="10"/>
      <c r="P583" s="10"/>
      <c r="Q583" s="10"/>
      <c r="R583" s="10"/>
      <c r="S583" s="10"/>
      <c r="T583" s="10"/>
      <c r="U583" s="10"/>
      <c r="V583" s="10"/>
      <c r="W583" s="10"/>
      <c r="X583" s="11" t="s">
        <v>34</v>
      </c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 t="s">
        <v>2913</v>
      </c>
      <c r="B584" s="10" t="s">
        <v>2914</v>
      </c>
      <c r="C584" s="15" t="s">
        <v>29</v>
      </c>
      <c r="D584" s="17" t="s">
        <v>2915</v>
      </c>
      <c r="E584" s="16" t="s">
        <v>2916</v>
      </c>
      <c r="F584" s="10" t="s">
        <v>2917</v>
      </c>
      <c r="G584" s="10" t="s">
        <v>2918</v>
      </c>
      <c r="H584" s="10" t="s">
        <v>2919</v>
      </c>
      <c r="I584" s="10"/>
      <c r="J584" s="11" t="s">
        <v>34</v>
      </c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1" t="s">
        <v>34</v>
      </c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 t="s">
        <v>2920</v>
      </c>
      <c r="B585" s="10" t="s">
        <v>2914</v>
      </c>
      <c r="C585" s="15" t="s">
        <v>29</v>
      </c>
      <c r="D585" s="17" t="s">
        <v>2921</v>
      </c>
      <c r="E585" s="16" t="s">
        <v>2922</v>
      </c>
      <c r="F585" s="10" t="s">
        <v>2923</v>
      </c>
      <c r="G585" s="10" t="s">
        <v>2924</v>
      </c>
      <c r="H585" s="10" t="s">
        <v>2925</v>
      </c>
      <c r="I585" s="10"/>
      <c r="J585" s="11" t="s">
        <v>34</v>
      </c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1" t="s">
        <v>34</v>
      </c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 t="s">
        <v>2926</v>
      </c>
      <c r="B586" s="10" t="s">
        <v>2914</v>
      </c>
      <c r="C586" s="15" t="s">
        <v>29</v>
      </c>
      <c r="D586" s="12"/>
      <c r="E586" s="16" t="s">
        <v>2927</v>
      </c>
      <c r="F586" s="10" t="s">
        <v>2928</v>
      </c>
      <c r="G586" s="10" t="s">
        <v>2929</v>
      </c>
      <c r="H586" s="10" t="s">
        <v>2930</v>
      </c>
      <c r="I586" s="10"/>
      <c r="J586" s="11" t="s">
        <v>34</v>
      </c>
      <c r="K586" s="11" t="s">
        <v>35</v>
      </c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1" t="s">
        <v>34</v>
      </c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 t="s">
        <v>2931</v>
      </c>
      <c r="B587" s="10" t="s">
        <v>2914</v>
      </c>
      <c r="C587" s="15" t="s">
        <v>29</v>
      </c>
      <c r="D587" s="17" t="s">
        <v>2932</v>
      </c>
      <c r="E587" s="16" t="s">
        <v>2933</v>
      </c>
      <c r="F587" s="10" t="s">
        <v>2934</v>
      </c>
      <c r="G587" s="10" t="s">
        <v>2935</v>
      </c>
      <c r="H587" s="10" t="s">
        <v>2936</v>
      </c>
      <c r="I587" s="10"/>
      <c r="J587" s="11" t="s">
        <v>34</v>
      </c>
      <c r="K587" s="11" t="s">
        <v>35</v>
      </c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1" t="s">
        <v>34</v>
      </c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 t="s">
        <v>2937</v>
      </c>
      <c r="B588" s="10" t="s">
        <v>2914</v>
      </c>
      <c r="C588" s="15" t="s">
        <v>29</v>
      </c>
      <c r="D588" s="12" t="s">
        <v>2938</v>
      </c>
      <c r="E588" s="16"/>
      <c r="F588" s="10" t="s">
        <v>2939</v>
      </c>
      <c r="G588" s="10"/>
      <c r="H588" s="10"/>
      <c r="I588" s="10"/>
      <c r="J588" s="11" t="s">
        <v>34</v>
      </c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1" t="s">
        <v>34</v>
      </c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 t="s">
        <v>2940</v>
      </c>
      <c r="B589" s="10" t="s">
        <v>2914</v>
      </c>
      <c r="C589" s="15" t="s">
        <v>112</v>
      </c>
      <c r="D589" s="12"/>
      <c r="E589" s="16" t="s">
        <v>2941</v>
      </c>
      <c r="F589" s="10" t="s">
        <v>2942</v>
      </c>
      <c r="G589" s="10" t="s">
        <v>2943</v>
      </c>
      <c r="H589" s="10" t="s">
        <v>2944</v>
      </c>
      <c r="I589" s="10"/>
      <c r="J589" s="10"/>
      <c r="K589" s="10"/>
      <c r="L589" s="10"/>
      <c r="M589" s="11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1" t="s">
        <v>34</v>
      </c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 t="s">
        <v>2945</v>
      </c>
      <c r="B590" s="10" t="s">
        <v>2914</v>
      </c>
      <c r="C590" s="15" t="s">
        <v>112</v>
      </c>
      <c r="D590" s="12"/>
      <c r="E590" s="16" t="s">
        <v>2946</v>
      </c>
      <c r="F590" s="10" t="s">
        <v>2947</v>
      </c>
      <c r="G590" s="10" t="s">
        <v>2948</v>
      </c>
      <c r="H590" s="10" t="s">
        <v>2949</v>
      </c>
      <c r="I590" s="10"/>
      <c r="J590" s="10"/>
      <c r="K590" s="10"/>
      <c r="L590" s="10"/>
      <c r="M590" s="11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1" t="s">
        <v>34</v>
      </c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 t="s">
        <v>2950</v>
      </c>
      <c r="B591" s="10" t="s">
        <v>2914</v>
      </c>
      <c r="C591" s="15" t="s">
        <v>112</v>
      </c>
      <c r="D591" s="12"/>
      <c r="E591" s="16" t="s">
        <v>2951</v>
      </c>
      <c r="F591" s="10" t="s">
        <v>2952</v>
      </c>
      <c r="G591" s="10" t="s">
        <v>2953</v>
      </c>
      <c r="H591" s="10" t="s">
        <v>2954</v>
      </c>
      <c r="I591" s="10"/>
      <c r="J591" s="10"/>
      <c r="K591" s="10"/>
      <c r="L591" s="10"/>
      <c r="M591" s="11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1" t="s">
        <v>34</v>
      </c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 t="s">
        <v>2955</v>
      </c>
      <c r="B592" s="10" t="s">
        <v>2914</v>
      </c>
      <c r="C592" s="15" t="s">
        <v>112</v>
      </c>
      <c r="D592" s="12"/>
      <c r="E592" s="16" t="s">
        <v>2951</v>
      </c>
      <c r="F592" s="10" t="s">
        <v>2952</v>
      </c>
      <c r="G592" s="10" t="s">
        <v>2953</v>
      </c>
      <c r="H592" s="10" t="s">
        <v>2956</v>
      </c>
      <c r="I592" s="10"/>
      <c r="J592" s="10"/>
      <c r="K592" s="10"/>
      <c r="L592" s="10"/>
      <c r="M592" s="11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1" t="s">
        <v>34</v>
      </c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 t="s">
        <v>2957</v>
      </c>
      <c r="B593" s="10" t="s">
        <v>2914</v>
      </c>
      <c r="C593" s="15" t="s">
        <v>112</v>
      </c>
      <c r="D593" s="12"/>
      <c r="E593" s="16" t="s">
        <v>2958</v>
      </c>
      <c r="F593" s="10" t="s">
        <v>2959</v>
      </c>
      <c r="G593" s="10" t="s">
        <v>2960</v>
      </c>
      <c r="H593" s="10" t="s">
        <v>2961</v>
      </c>
      <c r="I593" s="10"/>
      <c r="J593" s="10"/>
      <c r="K593" s="10"/>
      <c r="L593" s="10"/>
      <c r="M593" s="11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1" t="s">
        <v>34</v>
      </c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 t="s">
        <v>2962</v>
      </c>
      <c r="B594" s="10" t="s">
        <v>2914</v>
      </c>
      <c r="C594" s="15" t="s">
        <v>112</v>
      </c>
      <c r="D594" s="12" t="s">
        <v>2963</v>
      </c>
      <c r="E594" s="16" t="s">
        <v>2964</v>
      </c>
      <c r="F594" s="10" t="s">
        <v>2965</v>
      </c>
      <c r="G594" s="10" t="s">
        <v>2966</v>
      </c>
      <c r="H594" s="10" t="s">
        <v>2967</v>
      </c>
      <c r="I594" s="10"/>
      <c r="J594" s="10"/>
      <c r="K594" s="10"/>
      <c r="L594" s="10"/>
      <c r="M594" s="11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1" t="s">
        <v>34</v>
      </c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 t="s">
        <v>2968</v>
      </c>
      <c r="B595" s="10" t="s">
        <v>2914</v>
      </c>
      <c r="C595" s="15" t="s">
        <v>112</v>
      </c>
      <c r="D595" s="12"/>
      <c r="E595" s="16" t="s">
        <v>2969</v>
      </c>
      <c r="F595" s="10" t="s">
        <v>2939</v>
      </c>
      <c r="G595" s="10" t="s">
        <v>2970</v>
      </c>
      <c r="H595" s="10" t="s">
        <v>2971</v>
      </c>
      <c r="I595" s="10"/>
      <c r="J595" s="10"/>
      <c r="K595" s="10"/>
      <c r="L595" s="10"/>
      <c r="M595" s="11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1" t="s">
        <v>34</v>
      </c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 t="s">
        <v>2972</v>
      </c>
      <c r="B596" s="10" t="s">
        <v>2914</v>
      </c>
      <c r="C596" s="15" t="s">
        <v>211</v>
      </c>
      <c r="D596" s="12" t="s">
        <v>2973</v>
      </c>
      <c r="E596" s="16" t="s">
        <v>2974</v>
      </c>
      <c r="F596" s="10" t="s">
        <v>2975</v>
      </c>
      <c r="G596" s="10" t="s">
        <v>2976</v>
      </c>
      <c r="H596" s="10" t="s">
        <v>2977</v>
      </c>
      <c r="I596" s="10"/>
      <c r="J596" s="10"/>
      <c r="K596" s="10"/>
      <c r="L596" s="10"/>
      <c r="M596" s="11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 t="s">
        <v>2978</v>
      </c>
      <c r="B597" s="10" t="s">
        <v>2914</v>
      </c>
      <c r="C597" s="15" t="s">
        <v>211</v>
      </c>
      <c r="D597" s="12" t="s">
        <v>2979</v>
      </c>
      <c r="E597" s="16" t="s">
        <v>2868</v>
      </c>
      <c r="F597" s="10" t="s">
        <v>2980</v>
      </c>
      <c r="G597" s="10" t="s">
        <v>2870</v>
      </c>
      <c r="H597" s="10" t="s">
        <v>2981</v>
      </c>
      <c r="I597" s="10"/>
      <c r="J597" s="10"/>
      <c r="K597" s="10"/>
      <c r="L597" s="10"/>
      <c r="M597" s="11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 t="s">
        <v>2982</v>
      </c>
      <c r="B598" s="10" t="s">
        <v>2914</v>
      </c>
      <c r="C598" s="15" t="s">
        <v>211</v>
      </c>
      <c r="D598" s="12" t="s">
        <v>2983</v>
      </c>
      <c r="E598" s="16" t="s">
        <v>2984</v>
      </c>
      <c r="F598" s="10" t="s">
        <v>2985</v>
      </c>
      <c r="G598" s="10" t="s">
        <v>2986</v>
      </c>
      <c r="H598" s="10" t="s">
        <v>2987</v>
      </c>
      <c r="I598" s="10"/>
      <c r="J598" s="10"/>
      <c r="K598" s="10"/>
      <c r="L598" s="10"/>
      <c r="M598" s="11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 t="s">
        <v>2988</v>
      </c>
      <c r="B599" s="10" t="s">
        <v>2914</v>
      </c>
      <c r="C599" s="15" t="s">
        <v>211</v>
      </c>
      <c r="D599" s="12" t="s">
        <v>2989</v>
      </c>
      <c r="E599" s="16" t="s">
        <v>2990</v>
      </c>
      <c r="F599" s="10" t="s">
        <v>2991</v>
      </c>
      <c r="G599" s="10" t="s">
        <v>2992</v>
      </c>
      <c r="H599" s="10" t="s">
        <v>2993</v>
      </c>
      <c r="I599" s="10"/>
      <c r="J599" s="10"/>
      <c r="K599" s="10"/>
      <c r="L599" s="10"/>
      <c r="M599" s="11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 t="s">
        <v>2994</v>
      </c>
      <c r="B600" s="10" t="s">
        <v>2914</v>
      </c>
      <c r="C600" s="15" t="s">
        <v>211</v>
      </c>
      <c r="D600" s="12" t="s">
        <v>2995</v>
      </c>
      <c r="E600" s="16" t="s">
        <v>2996</v>
      </c>
      <c r="F600" s="10"/>
      <c r="G600" s="10" t="s">
        <v>2997</v>
      </c>
      <c r="H600" s="10" t="s">
        <v>2998</v>
      </c>
      <c r="I600" s="10"/>
      <c r="J600" s="10"/>
      <c r="K600" s="10"/>
      <c r="L600" s="10"/>
      <c r="M600" s="11"/>
      <c r="N600" s="22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 t="s">
        <v>2999</v>
      </c>
      <c r="B601" s="10" t="s">
        <v>2914</v>
      </c>
      <c r="C601" s="10" t="s">
        <v>90</v>
      </c>
      <c r="D601" s="12" t="s">
        <v>3000</v>
      </c>
      <c r="E601" s="16" t="s">
        <v>3001</v>
      </c>
      <c r="F601" s="10" t="s">
        <v>3002</v>
      </c>
      <c r="G601" s="10"/>
      <c r="H601" s="10" t="s">
        <v>3003</v>
      </c>
      <c r="I601" s="10"/>
      <c r="J601" s="10"/>
      <c r="K601" s="10"/>
      <c r="L601" s="10"/>
      <c r="M601" s="11"/>
      <c r="N601" s="22"/>
      <c r="O601" s="10"/>
      <c r="P601" s="10"/>
      <c r="Q601" s="10"/>
      <c r="R601" s="10"/>
      <c r="S601" s="10"/>
      <c r="T601" s="10"/>
      <c r="U601" s="10"/>
      <c r="V601" s="10"/>
      <c r="W601" s="10"/>
      <c r="X601" s="11" t="s">
        <v>34</v>
      </c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 t="s">
        <v>3004</v>
      </c>
      <c r="B602" s="10" t="s">
        <v>2914</v>
      </c>
      <c r="C602" s="10" t="s">
        <v>90</v>
      </c>
      <c r="D602" s="12" t="s">
        <v>3005</v>
      </c>
      <c r="E602" s="16" t="s">
        <v>3006</v>
      </c>
      <c r="F602" s="10" t="s">
        <v>3007</v>
      </c>
      <c r="G602" s="10" t="s">
        <v>3008</v>
      </c>
      <c r="H602" s="10" t="s">
        <v>3009</v>
      </c>
      <c r="I602" s="10"/>
      <c r="J602" s="10"/>
      <c r="K602" s="10"/>
      <c r="L602" s="10"/>
      <c r="M602" s="11"/>
      <c r="N602" s="22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 t="s">
        <v>3010</v>
      </c>
      <c r="B603" s="10" t="s">
        <v>2914</v>
      </c>
      <c r="C603" s="10" t="s">
        <v>90</v>
      </c>
      <c r="D603" s="12" t="s">
        <v>3011</v>
      </c>
      <c r="E603" s="16" t="s">
        <v>3012</v>
      </c>
      <c r="F603" s="10" t="s">
        <v>3013</v>
      </c>
      <c r="G603" s="10"/>
      <c r="H603" s="10" t="s">
        <v>3014</v>
      </c>
      <c r="I603" s="10"/>
      <c r="J603" s="10"/>
      <c r="K603" s="10"/>
      <c r="L603" s="10"/>
      <c r="M603" s="11"/>
      <c r="N603" s="22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 t="s">
        <v>3015</v>
      </c>
      <c r="B604" s="10" t="s">
        <v>2914</v>
      </c>
      <c r="C604" s="10" t="s">
        <v>90</v>
      </c>
      <c r="D604" s="28" t="s">
        <v>3016</v>
      </c>
      <c r="E604" s="16" t="s">
        <v>3017</v>
      </c>
      <c r="F604" s="10" t="s">
        <v>3018</v>
      </c>
      <c r="G604" s="10" t="s">
        <v>3019</v>
      </c>
      <c r="H604" s="10" t="s">
        <v>3020</v>
      </c>
      <c r="I604" s="10"/>
      <c r="J604" s="10"/>
      <c r="K604" s="10"/>
      <c r="L604" s="10"/>
      <c r="M604" s="11"/>
      <c r="N604" s="22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 t="s">
        <v>3021</v>
      </c>
      <c r="B605" s="10" t="s">
        <v>2914</v>
      </c>
      <c r="C605" s="10" t="s">
        <v>90</v>
      </c>
      <c r="D605" s="12"/>
      <c r="E605" s="16" t="s">
        <v>3017</v>
      </c>
      <c r="F605" s="10" t="s">
        <v>3018</v>
      </c>
      <c r="G605" s="10" t="s">
        <v>3019</v>
      </c>
      <c r="H605" s="10" t="s">
        <v>3020</v>
      </c>
      <c r="I605" s="10"/>
      <c r="J605" s="10"/>
      <c r="K605" s="10"/>
      <c r="L605" s="10"/>
      <c r="M605" s="11"/>
      <c r="N605" s="22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 t="s">
        <v>3022</v>
      </c>
      <c r="B606" s="10" t="s">
        <v>2914</v>
      </c>
      <c r="C606" s="10" t="s">
        <v>90</v>
      </c>
      <c r="D606" s="12" t="s">
        <v>3023</v>
      </c>
      <c r="E606" s="16" t="s">
        <v>3024</v>
      </c>
      <c r="F606" s="10" t="s">
        <v>1514</v>
      </c>
      <c r="G606" s="10" t="s">
        <v>1515</v>
      </c>
      <c r="H606" s="10" t="s">
        <v>3025</v>
      </c>
      <c r="I606" s="10"/>
      <c r="J606" s="10"/>
      <c r="K606" s="10"/>
      <c r="L606" s="10"/>
      <c r="M606" s="11"/>
      <c r="N606" s="22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 t="s">
        <v>3026</v>
      </c>
      <c r="B607" s="10" t="s">
        <v>2914</v>
      </c>
      <c r="C607" s="10" t="s">
        <v>388</v>
      </c>
      <c r="D607" s="12" t="s">
        <v>3011</v>
      </c>
      <c r="E607" s="16" t="s">
        <v>3012</v>
      </c>
      <c r="F607" s="10" t="s">
        <v>3013</v>
      </c>
      <c r="G607" s="10"/>
      <c r="H607" s="10" t="s">
        <v>3027</v>
      </c>
      <c r="I607" s="10"/>
      <c r="J607" s="10"/>
      <c r="K607" s="10"/>
      <c r="L607" s="10"/>
      <c r="M607" s="11"/>
      <c r="N607" s="22"/>
      <c r="O607" s="10"/>
      <c r="P607" s="10"/>
      <c r="Q607" s="10"/>
      <c r="R607" s="10"/>
      <c r="S607" s="10"/>
      <c r="T607" s="10"/>
      <c r="U607" s="10"/>
      <c r="V607" s="10"/>
      <c r="W607" s="10"/>
      <c r="X607" s="11" t="s">
        <v>34</v>
      </c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 t="s">
        <v>3028</v>
      </c>
      <c r="B608" s="10" t="s">
        <v>2914</v>
      </c>
      <c r="C608" s="10" t="s">
        <v>388</v>
      </c>
      <c r="D608" s="12" t="s">
        <v>3029</v>
      </c>
      <c r="E608" s="16" t="s">
        <v>3030</v>
      </c>
      <c r="F608" s="10" t="s">
        <v>3031</v>
      </c>
      <c r="G608" s="10"/>
      <c r="H608" s="10" t="s">
        <v>3032</v>
      </c>
      <c r="I608" s="10"/>
      <c r="J608" s="10"/>
      <c r="K608" s="10"/>
      <c r="L608" s="10"/>
      <c r="M608" s="11"/>
      <c r="N608" s="22"/>
      <c r="O608" s="10"/>
      <c r="P608" s="10"/>
      <c r="Q608" s="10"/>
      <c r="R608" s="10"/>
      <c r="S608" s="10"/>
      <c r="T608" s="10"/>
      <c r="U608" s="10"/>
      <c r="V608" s="10"/>
      <c r="W608" s="10"/>
      <c r="X608" s="11" t="s">
        <v>34</v>
      </c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 t="s">
        <v>3033</v>
      </c>
      <c r="B609" s="10" t="s">
        <v>2914</v>
      </c>
      <c r="C609" s="10" t="s">
        <v>388</v>
      </c>
      <c r="D609" s="12" t="s">
        <v>3034</v>
      </c>
      <c r="E609" s="16" t="s">
        <v>3035</v>
      </c>
      <c r="F609" s="10" t="s">
        <v>3036</v>
      </c>
      <c r="G609" s="10"/>
      <c r="H609" s="10"/>
      <c r="I609" s="10"/>
      <c r="J609" s="10"/>
      <c r="K609" s="10"/>
      <c r="L609" s="10"/>
      <c r="M609" s="11"/>
      <c r="N609" s="22"/>
      <c r="O609" s="10"/>
      <c r="P609" s="10"/>
      <c r="Q609" s="10"/>
      <c r="R609" s="10"/>
      <c r="S609" s="10"/>
      <c r="T609" s="10"/>
      <c r="U609" s="10"/>
      <c r="V609" s="10"/>
      <c r="W609" s="10"/>
      <c r="X609" s="11" t="s">
        <v>34</v>
      </c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 t="s">
        <v>3037</v>
      </c>
      <c r="B610" s="10" t="s">
        <v>2914</v>
      </c>
      <c r="C610" s="10" t="s">
        <v>388</v>
      </c>
      <c r="D610" s="12" t="s">
        <v>3038</v>
      </c>
      <c r="E610" s="16" t="s">
        <v>3039</v>
      </c>
      <c r="F610" s="10" t="s">
        <v>3040</v>
      </c>
      <c r="G610" s="10"/>
      <c r="H610" s="10"/>
      <c r="I610" s="10"/>
      <c r="J610" s="10"/>
      <c r="K610" s="10"/>
      <c r="L610" s="10"/>
      <c r="M610" s="11"/>
      <c r="N610" s="22"/>
      <c r="O610" s="10"/>
      <c r="P610" s="10"/>
      <c r="Q610" s="10"/>
      <c r="R610" s="10"/>
      <c r="S610" s="10"/>
      <c r="T610" s="10"/>
      <c r="U610" s="10"/>
      <c r="V610" s="10"/>
      <c r="W610" s="10"/>
      <c r="X610" s="11" t="s">
        <v>34</v>
      </c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 t="s">
        <v>3041</v>
      </c>
      <c r="B611" s="10" t="s">
        <v>2914</v>
      </c>
      <c r="C611" s="10" t="s">
        <v>388</v>
      </c>
      <c r="D611" s="12"/>
      <c r="E611" s="16"/>
      <c r="F611" s="10"/>
      <c r="G611" s="10"/>
      <c r="H611" s="10"/>
      <c r="I611" s="10"/>
      <c r="J611" s="10"/>
      <c r="K611" s="10"/>
      <c r="L611" s="10"/>
      <c r="M611" s="11"/>
      <c r="N611" s="22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 t="s">
        <v>3042</v>
      </c>
      <c r="B612" s="10" t="s">
        <v>2914</v>
      </c>
      <c r="C612" s="10" t="s">
        <v>388</v>
      </c>
      <c r="D612" s="12" t="s">
        <v>3043</v>
      </c>
      <c r="E612" s="16" t="s">
        <v>3044</v>
      </c>
      <c r="F612" s="10" t="s">
        <v>3045</v>
      </c>
      <c r="G612" s="10"/>
      <c r="H612" s="10" t="s">
        <v>3046</v>
      </c>
      <c r="I612" s="10"/>
      <c r="J612" s="10"/>
      <c r="K612" s="10"/>
      <c r="L612" s="10"/>
      <c r="M612" s="11"/>
      <c r="N612" s="22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 t="s">
        <v>3047</v>
      </c>
      <c r="B613" s="10" t="s">
        <v>2914</v>
      </c>
      <c r="C613" s="10" t="s">
        <v>388</v>
      </c>
      <c r="D613" s="12" t="s">
        <v>3048</v>
      </c>
      <c r="E613" s="16">
        <v>5.3011557E7</v>
      </c>
      <c r="F613" s="10" t="s">
        <v>3049</v>
      </c>
      <c r="G613" s="10" t="s">
        <v>3050</v>
      </c>
      <c r="H613" s="10" t="s">
        <v>3051</v>
      </c>
      <c r="I613" s="10"/>
      <c r="J613" s="10"/>
      <c r="K613" s="10"/>
      <c r="L613" s="10"/>
      <c r="M613" s="11"/>
      <c r="N613" s="22"/>
      <c r="O613" s="10"/>
      <c r="P613" s="10"/>
      <c r="Q613" s="10"/>
      <c r="R613" s="10"/>
      <c r="S613" s="10"/>
      <c r="T613" s="10"/>
      <c r="U613" s="10"/>
      <c r="V613" s="10"/>
      <c r="W613" s="10"/>
      <c r="X613" s="11" t="s">
        <v>34</v>
      </c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 t="s">
        <v>3052</v>
      </c>
      <c r="B614" s="10" t="s">
        <v>2914</v>
      </c>
      <c r="C614" s="11" t="s">
        <v>79</v>
      </c>
      <c r="D614" s="12" t="s">
        <v>3053</v>
      </c>
      <c r="E614" s="16" t="s">
        <v>3054</v>
      </c>
      <c r="F614" s="10" t="s">
        <v>3055</v>
      </c>
      <c r="G614" s="10"/>
      <c r="H614" s="10" t="s">
        <v>3056</v>
      </c>
      <c r="I614" s="10"/>
      <c r="J614" s="10"/>
      <c r="K614" s="10"/>
      <c r="L614" s="10"/>
      <c r="M614" s="11"/>
      <c r="N614" s="22"/>
      <c r="O614" s="10"/>
      <c r="P614" s="10"/>
      <c r="Q614" s="10"/>
      <c r="R614" s="10"/>
      <c r="S614" s="10"/>
      <c r="T614" s="10"/>
      <c r="U614" s="10"/>
      <c r="V614" s="10"/>
      <c r="W614" s="10"/>
      <c r="X614" s="11" t="s">
        <v>34</v>
      </c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 t="s">
        <v>3057</v>
      </c>
      <c r="B615" s="10" t="s">
        <v>2914</v>
      </c>
      <c r="C615" s="10" t="s">
        <v>262</v>
      </c>
      <c r="D615" s="12" t="s">
        <v>3058</v>
      </c>
      <c r="E615" s="16" t="s">
        <v>3059</v>
      </c>
      <c r="F615" s="10" t="s">
        <v>3060</v>
      </c>
      <c r="G615" s="10" t="s">
        <v>3061</v>
      </c>
      <c r="H615" s="10" t="s">
        <v>3062</v>
      </c>
      <c r="I615" s="10"/>
      <c r="J615" s="10"/>
      <c r="K615" s="10"/>
      <c r="L615" s="10"/>
      <c r="M615" s="10"/>
      <c r="N615" s="22"/>
      <c r="O615" s="10"/>
      <c r="P615" s="10"/>
      <c r="Q615" s="10"/>
      <c r="R615" s="10"/>
      <c r="S615" s="10"/>
      <c r="T615" s="10"/>
      <c r="U615" s="10"/>
      <c r="V615" s="10"/>
      <c r="W615" s="10"/>
      <c r="X615" s="11" t="s">
        <v>34</v>
      </c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 t="s">
        <v>3063</v>
      </c>
      <c r="B616" s="10" t="s">
        <v>2914</v>
      </c>
      <c r="C616" s="10" t="s">
        <v>262</v>
      </c>
      <c r="D616" s="17" t="s">
        <v>3064</v>
      </c>
      <c r="E616" s="16" t="s">
        <v>3065</v>
      </c>
      <c r="F616" s="10" t="s">
        <v>3066</v>
      </c>
      <c r="G616" s="10" t="s">
        <v>3067</v>
      </c>
      <c r="H616" s="10" t="s">
        <v>3068</v>
      </c>
      <c r="I616" s="10"/>
      <c r="J616" s="10"/>
      <c r="K616" s="10"/>
      <c r="L616" s="10"/>
      <c r="M616" s="10"/>
      <c r="N616" s="22"/>
      <c r="O616" s="10"/>
      <c r="P616" s="10"/>
      <c r="Q616" s="10"/>
      <c r="R616" s="10"/>
      <c r="S616" s="10"/>
      <c r="T616" s="10"/>
      <c r="U616" s="10"/>
      <c r="V616" s="10"/>
      <c r="W616" s="10"/>
      <c r="X616" s="11" t="s">
        <v>34</v>
      </c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 t="s">
        <v>3069</v>
      </c>
      <c r="B617" s="10" t="s">
        <v>2914</v>
      </c>
      <c r="C617" s="10" t="s">
        <v>262</v>
      </c>
      <c r="D617" s="17" t="s">
        <v>3070</v>
      </c>
      <c r="E617" s="16" t="s">
        <v>3065</v>
      </c>
      <c r="F617" s="10" t="s">
        <v>3066</v>
      </c>
      <c r="G617" s="10" t="s">
        <v>3067</v>
      </c>
      <c r="H617" s="10" t="s">
        <v>3071</v>
      </c>
      <c r="I617" s="10"/>
      <c r="J617" s="10"/>
      <c r="K617" s="10"/>
      <c r="L617" s="10"/>
      <c r="M617" s="10"/>
      <c r="N617" s="22"/>
      <c r="O617" s="10"/>
      <c r="P617" s="10"/>
      <c r="Q617" s="10"/>
      <c r="R617" s="10"/>
      <c r="S617" s="10"/>
      <c r="T617" s="10"/>
      <c r="U617" s="10"/>
      <c r="V617" s="10"/>
      <c r="W617" s="10"/>
      <c r="X617" s="11" t="s">
        <v>34</v>
      </c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 t="s">
        <v>3072</v>
      </c>
      <c r="B618" s="10" t="s">
        <v>2914</v>
      </c>
      <c r="C618" s="10" t="s">
        <v>262</v>
      </c>
      <c r="D618" s="12" t="s">
        <v>3073</v>
      </c>
      <c r="E618" s="16" t="s">
        <v>2927</v>
      </c>
      <c r="F618" s="10" t="s">
        <v>3074</v>
      </c>
      <c r="G618" s="10" t="s">
        <v>2929</v>
      </c>
      <c r="H618" s="10" t="s">
        <v>3075</v>
      </c>
      <c r="I618" s="10"/>
      <c r="J618" s="10"/>
      <c r="K618" s="10"/>
      <c r="L618" s="10"/>
      <c r="M618" s="10"/>
      <c r="N618" s="22"/>
      <c r="O618" s="10"/>
      <c r="P618" s="10"/>
      <c r="Q618" s="10"/>
      <c r="R618" s="10"/>
      <c r="S618" s="10"/>
      <c r="T618" s="10"/>
      <c r="U618" s="10"/>
      <c r="V618" s="10"/>
      <c r="W618" s="10"/>
      <c r="X618" s="11" t="s">
        <v>34</v>
      </c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1" t="s">
        <v>3076</v>
      </c>
      <c r="B619" s="10" t="s">
        <v>2914</v>
      </c>
      <c r="C619" s="15" t="s">
        <v>400</v>
      </c>
      <c r="D619" s="12" t="s">
        <v>3077</v>
      </c>
      <c r="E619" s="16" t="s">
        <v>3078</v>
      </c>
      <c r="F619" s="10" t="s">
        <v>3079</v>
      </c>
      <c r="G619" s="10" t="s">
        <v>3080</v>
      </c>
      <c r="H619" s="10" t="s">
        <v>3081</v>
      </c>
      <c r="I619" s="10"/>
      <c r="J619" s="10"/>
      <c r="K619" s="10"/>
      <c r="L619" s="10"/>
      <c r="M619" s="10"/>
      <c r="N619" s="22"/>
      <c r="O619" s="10"/>
      <c r="P619" s="10"/>
      <c r="Q619" s="10"/>
      <c r="R619" s="10"/>
      <c r="S619" s="10"/>
      <c r="T619" s="10"/>
      <c r="U619" s="10"/>
      <c r="V619" s="10"/>
      <c r="W619" s="10"/>
      <c r="X619" s="11" t="s">
        <v>34</v>
      </c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 t="s">
        <v>3082</v>
      </c>
      <c r="B620" s="10" t="s">
        <v>3083</v>
      </c>
      <c r="C620" s="15" t="s">
        <v>512</v>
      </c>
      <c r="D620" s="12" t="s">
        <v>3084</v>
      </c>
      <c r="E620" s="16" t="s">
        <v>3085</v>
      </c>
      <c r="F620" s="10" t="s">
        <v>3086</v>
      </c>
      <c r="G620" s="10" t="s">
        <v>3087</v>
      </c>
      <c r="H620" s="10" t="s">
        <v>3088</v>
      </c>
      <c r="I620" s="10"/>
      <c r="J620" s="11" t="s">
        <v>34</v>
      </c>
      <c r="K620" s="11" t="s">
        <v>35</v>
      </c>
      <c r="L620" s="11">
        <v>540.0</v>
      </c>
      <c r="M620" s="10"/>
      <c r="N620" s="31" t="s">
        <v>3089</v>
      </c>
      <c r="O620" s="11" t="s">
        <v>37</v>
      </c>
      <c r="P620" s="11" t="s">
        <v>37</v>
      </c>
      <c r="Q620" s="11" t="s">
        <v>37</v>
      </c>
      <c r="R620" s="10"/>
      <c r="S620" s="11" t="s">
        <v>34</v>
      </c>
      <c r="T620" s="32" t="s">
        <v>518</v>
      </c>
      <c r="U620" s="10"/>
      <c r="V620" s="11" t="s">
        <v>34</v>
      </c>
      <c r="W620" s="11" t="s">
        <v>34</v>
      </c>
      <c r="X620" s="11" t="s">
        <v>34</v>
      </c>
      <c r="Y620" s="10" t="s">
        <v>412</v>
      </c>
      <c r="Z620" s="11" t="s">
        <v>38</v>
      </c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 t="s">
        <v>3090</v>
      </c>
      <c r="B621" s="10" t="s">
        <v>3083</v>
      </c>
      <c r="C621" s="15" t="s">
        <v>512</v>
      </c>
      <c r="D621" s="12" t="s">
        <v>3091</v>
      </c>
      <c r="E621" s="16">
        <v>5277129.0</v>
      </c>
      <c r="F621" s="10" t="s">
        <v>3092</v>
      </c>
      <c r="G621" s="10" t="s">
        <v>3093</v>
      </c>
      <c r="H621" s="10" t="s">
        <v>3094</v>
      </c>
      <c r="I621" s="10">
        <v>50.0</v>
      </c>
      <c r="J621" s="11" t="s">
        <v>34</v>
      </c>
      <c r="K621" s="11" t="s">
        <v>543</v>
      </c>
      <c r="L621" s="10">
        <v>50.0</v>
      </c>
      <c r="M621" s="10" t="s">
        <v>3095</v>
      </c>
      <c r="N621" s="10"/>
      <c r="O621" s="11" t="s">
        <v>37</v>
      </c>
      <c r="P621" s="11" t="s">
        <v>37</v>
      </c>
      <c r="Q621" s="11" t="s">
        <v>37</v>
      </c>
      <c r="R621" s="10" t="s">
        <v>3096</v>
      </c>
      <c r="S621" s="11" t="s">
        <v>34</v>
      </c>
      <c r="T621" s="32" t="s">
        <v>518</v>
      </c>
      <c r="U621" s="10"/>
      <c r="V621" s="11" t="s">
        <v>38</v>
      </c>
      <c r="W621" s="11" t="s">
        <v>34</v>
      </c>
      <c r="X621" s="11" t="s">
        <v>34</v>
      </c>
      <c r="Y621" s="10" t="s">
        <v>3097</v>
      </c>
      <c r="Z621" s="11" t="s">
        <v>38</v>
      </c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33" t="s">
        <v>3098</v>
      </c>
      <c r="B622" s="10" t="s">
        <v>3083</v>
      </c>
      <c r="C622" s="15" t="s">
        <v>512</v>
      </c>
      <c r="D622" s="17" t="s">
        <v>3099</v>
      </c>
      <c r="E622" s="34" t="s">
        <v>3100</v>
      </c>
      <c r="F622" s="33" t="s">
        <v>3101</v>
      </c>
      <c r="G622" s="11" t="s">
        <v>3102</v>
      </c>
      <c r="H622" s="35" t="s">
        <v>3103</v>
      </c>
      <c r="I622" s="10"/>
      <c r="J622" s="11" t="s">
        <v>34</v>
      </c>
      <c r="K622" s="11" t="s">
        <v>543</v>
      </c>
      <c r="L622" s="10"/>
      <c r="M622" s="10"/>
      <c r="N622" s="10"/>
      <c r="O622" s="11" t="s">
        <v>37</v>
      </c>
      <c r="P622" s="11" t="s">
        <v>37</v>
      </c>
      <c r="Q622" s="11" t="s">
        <v>37</v>
      </c>
      <c r="R622" s="10"/>
      <c r="S622" s="10"/>
      <c r="T622" s="10"/>
      <c r="U622" s="10"/>
      <c r="V622" s="11" t="s">
        <v>38</v>
      </c>
      <c r="W622" s="10"/>
      <c r="X622" s="11" t="s">
        <v>34</v>
      </c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 t="s">
        <v>3104</v>
      </c>
      <c r="B623" s="10" t="s">
        <v>3083</v>
      </c>
      <c r="C623" s="10" t="s">
        <v>90</v>
      </c>
      <c r="D623" s="12" t="s">
        <v>3105</v>
      </c>
      <c r="E623" s="16" t="s">
        <v>3106</v>
      </c>
      <c r="F623" s="10" t="s">
        <v>3107</v>
      </c>
      <c r="G623" s="10" t="s">
        <v>3108</v>
      </c>
      <c r="H623" s="10" t="s">
        <v>3109</v>
      </c>
      <c r="I623" s="10"/>
      <c r="J623" s="11" t="s">
        <v>34</v>
      </c>
      <c r="K623" s="11" t="s">
        <v>35</v>
      </c>
      <c r="L623" s="10">
        <v>20.0</v>
      </c>
      <c r="M623" s="11" t="s">
        <v>38</v>
      </c>
      <c r="N623" s="10"/>
      <c r="O623" s="10"/>
      <c r="P623" s="10"/>
      <c r="Q623" s="11" t="s">
        <v>37</v>
      </c>
      <c r="R623" s="10"/>
      <c r="S623" s="10"/>
      <c r="T623" s="10"/>
      <c r="U623" s="10"/>
      <c r="V623" s="10"/>
      <c r="W623" s="11" t="s">
        <v>34</v>
      </c>
      <c r="X623" s="11" t="s">
        <v>34</v>
      </c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 t="s">
        <v>3110</v>
      </c>
      <c r="B624" s="10" t="s">
        <v>3083</v>
      </c>
      <c r="C624" s="10" t="s">
        <v>718</v>
      </c>
      <c r="D624" s="12" t="s">
        <v>3111</v>
      </c>
      <c r="E624" s="16">
        <v>4355311.0</v>
      </c>
      <c r="F624" s="10" t="s">
        <v>3112</v>
      </c>
      <c r="G624" s="10"/>
      <c r="H624" s="10" t="s">
        <v>3113</v>
      </c>
      <c r="I624" s="10">
        <v>255.0</v>
      </c>
      <c r="J624" s="11" t="s">
        <v>34</v>
      </c>
      <c r="K624" s="11" t="s">
        <v>543</v>
      </c>
      <c r="L624" s="10" t="s">
        <v>3114</v>
      </c>
      <c r="M624" s="10"/>
      <c r="N624" s="10"/>
      <c r="O624" s="11" t="s">
        <v>37</v>
      </c>
      <c r="P624" s="10"/>
      <c r="Q624" s="11" t="s">
        <v>37</v>
      </c>
      <c r="R624" s="10"/>
      <c r="S624" s="11" t="s">
        <v>38</v>
      </c>
      <c r="T624" s="10" t="s">
        <v>1653</v>
      </c>
      <c r="U624" s="10"/>
      <c r="V624" s="11" t="s">
        <v>34</v>
      </c>
      <c r="W624" s="10"/>
      <c r="X624" s="11" t="s">
        <v>34</v>
      </c>
      <c r="Y624" s="10" t="s">
        <v>412</v>
      </c>
      <c r="Z624" s="11" t="s">
        <v>38</v>
      </c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 t="s">
        <v>3115</v>
      </c>
      <c r="B625" s="10" t="s">
        <v>3083</v>
      </c>
      <c r="C625" s="10" t="s">
        <v>262</v>
      </c>
      <c r="D625" s="12" t="s">
        <v>3116</v>
      </c>
      <c r="E625" s="16" t="s">
        <v>3117</v>
      </c>
      <c r="F625" s="10" t="s">
        <v>3118</v>
      </c>
      <c r="G625" s="10" t="s">
        <v>3119</v>
      </c>
      <c r="H625" s="10" t="s">
        <v>3120</v>
      </c>
      <c r="I625" s="10">
        <v>100.0</v>
      </c>
      <c r="J625" s="11" t="s">
        <v>34</v>
      </c>
      <c r="K625" s="11" t="s">
        <v>35</v>
      </c>
      <c r="L625" s="10">
        <v>200.0</v>
      </c>
      <c r="M625" s="10" t="s">
        <v>3121</v>
      </c>
      <c r="N625" s="10"/>
      <c r="O625" s="11" t="s">
        <v>37</v>
      </c>
      <c r="P625" s="11" t="s">
        <v>37</v>
      </c>
      <c r="Q625" s="11" t="s">
        <v>37</v>
      </c>
      <c r="R625" s="10" t="s">
        <v>3122</v>
      </c>
      <c r="S625" s="11" t="s">
        <v>38</v>
      </c>
      <c r="T625" s="10" t="s">
        <v>3123</v>
      </c>
      <c r="U625" s="10" t="s">
        <v>3124</v>
      </c>
      <c r="V625" s="11" t="s">
        <v>34</v>
      </c>
      <c r="W625" s="10" t="s">
        <v>461</v>
      </c>
      <c r="X625" s="11" t="s">
        <v>34</v>
      </c>
      <c r="Y625" s="10" t="s">
        <v>412</v>
      </c>
      <c r="Z625" s="10" t="s">
        <v>3125</v>
      </c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 t="s">
        <v>3126</v>
      </c>
      <c r="B626" s="10" t="s">
        <v>3083</v>
      </c>
      <c r="C626" s="15" t="s">
        <v>112</v>
      </c>
      <c r="D626" s="12" t="s">
        <v>3127</v>
      </c>
      <c r="E626" s="16">
        <v>5.7502313E7</v>
      </c>
      <c r="F626" s="10" t="s">
        <v>3128</v>
      </c>
      <c r="G626" s="10" t="s">
        <v>3129</v>
      </c>
      <c r="H626" s="10" t="s">
        <v>3130</v>
      </c>
      <c r="I626" s="11">
        <v>300.0</v>
      </c>
      <c r="J626" s="11" t="s">
        <v>34</v>
      </c>
      <c r="K626" s="11" t="s">
        <v>714</v>
      </c>
      <c r="L626" s="10">
        <v>100.0</v>
      </c>
      <c r="M626" s="11" t="s">
        <v>38</v>
      </c>
      <c r="N626" s="10"/>
      <c r="O626" s="11" t="s">
        <v>74</v>
      </c>
      <c r="P626" s="11" t="s">
        <v>74</v>
      </c>
      <c r="Q626" s="11" t="s">
        <v>37</v>
      </c>
      <c r="R626" s="10" t="s">
        <v>3131</v>
      </c>
      <c r="S626" s="11" t="s">
        <v>34</v>
      </c>
      <c r="T626" s="32" t="s">
        <v>518</v>
      </c>
      <c r="U626" s="10" t="s">
        <v>3132</v>
      </c>
      <c r="V626" s="11" t="s">
        <v>34</v>
      </c>
      <c r="W626" s="10" t="s">
        <v>461</v>
      </c>
      <c r="X626" s="11" t="s">
        <v>34</v>
      </c>
      <c r="Y626" s="10" t="s">
        <v>3133</v>
      </c>
      <c r="Z626" s="11" t="s">
        <v>38</v>
      </c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 t="s">
        <v>3134</v>
      </c>
      <c r="B627" s="10" t="s">
        <v>3083</v>
      </c>
      <c r="C627" s="10" t="s">
        <v>674</v>
      </c>
      <c r="D627" s="12" t="s">
        <v>3135</v>
      </c>
      <c r="E627" s="16">
        <v>5289059.0</v>
      </c>
      <c r="F627" s="10" t="s">
        <v>3136</v>
      </c>
      <c r="G627" s="10" t="s">
        <v>3137</v>
      </c>
      <c r="H627" s="10" t="s">
        <v>3138</v>
      </c>
      <c r="I627" s="10"/>
      <c r="J627" s="11" t="s">
        <v>34</v>
      </c>
      <c r="K627" s="11" t="s">
        <v>35</v>
      </c>
      <c r="L627" s="10"/>
      <c r="M627" s="11" t="s">
        <v>38</v>
      </c>
      <c r="N627" s="10"/>
      <c r="O627" s="10"/>
      <c r="P627" s="11" t="s">
        <v>37</v>
      </c>
      <c r="Q627" s="11" t="s">
        <v>37</v>
      </c>
      <c r="R627" s="10"/>
      <c r="S627" s="10"/>
      <c r="T627" s="10"/>
      <c r="U627" s="10"/>
      <c r="V627" s="10"/>
      <c r="W627" s="10"/>
      <c r="X627" s="11" t="s">
        <v>34</v>
      </c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 t="s">
        <v>3139</v>
      </c>
      <c r="B628" s="10" t="s">
        <v>3083</v>
      </c>
      <c r="C628" s="10" t="s">
        <v>674</v>
      </c>
      <c r="D628" s="12" t="s">
        <v>3140</v>
      </c>
      <c r="E628" s="16" t="s">
        <v>3141</v>
      </c>
      <c r="F628" s="10" t="s">
        <v>3142</v>
      </c>
      <c r="G628" s="10" t="s">
        <v>3143</v>
      </c>
      <c r="H628" s="10" t="s">
        <v>3144</v>
      </c>
      <c r="I628" s="10"/>
      <c r="J628" s="11" t="s">
        <v>34</v>
      </c>
      <c r="K628" s="11" t="s">
        <v>35</v>
      </c>
      <c r="L628" s="10"/>
      <c r="M628" s="11" t="s">
        <v>38</v>
      </c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1" t="s">
        <v>34</v>
      </c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 t="s">
        <v>3145</v>
      </c>
      <c r="B629" s="10" t="s">
        <v>3083</v>
      </c>
      <c r="C629" s="10" t="s">
        <v>388</v>
      </c>
      <c r="D629" s="12" t="s">
        <v>3146</v>
      </c>
      <c r="E629" s="16" t="s">
        <v>3147</v>
      </c>
      <c r="F629" s="10" t="s">
        <v>3148</v>
      </c>
      <c r="G629" s="10" t="s">
        <v>3149</v>
      </c>
      <c r="H629" s="10" t="s">
        <v>3150</v>
      </c>
      <c r="I629" s="10"/>
      <c r="J629" s="11" t="s">
        <v>34</v>
      </c>
      <c r="K629" s="11" t="s">
        <v>35</v>
      </c>
      <c r="L629" s="10"/>
      <c r="M629" s="11" t="s">
        <v>38</v>
      </c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1" t="s">
        <v>34</v>
      </c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 t="s">
        <v>3151</v>
      </c>
      <c r="B630" s="10" t="s">
        <v>3083</v>
      </c>
      <c r="C630" s="10" t="s">
        <v>388</v>
      </c>
      <c r="D630" s="12" t="s">
        <v>3152</v>
      </c>
      <c r="E630" s="16" t="s">
        <v>3153</v>
      </c>
      <c r="F630" s="10" t="s">
        <v>3154</v>
      </c>
      <c r="G630" s="10"/>
      <c r="H630" s="10" t="s">
        <v>3155</v>
      </c>
      <c r="I630" s="10"/>
      <c r="J630" s="11" t="s">
        <v>34</v>
      </c>
      <c r="K630" s="11" t="s">
        <v>35</v>
      </c>
      <c r="L630" s="10"/>
      <c r="M630" s="11" t="s">
        <v>38</v>
      </c>
      <c r="N630" s="10"/>
      <c r="O630" s="10"/>
      <c r="P630" s="10"/>
      <c r="Q630" s="10"/>
      <c r="R630" s="10"/>
      <c r="S630" s="10"/>
      <c r="T630" s="10"/>
      <c r="U630" s="10"/>
      <c r="V630" s="11" t="s">
        <v>34</v>
      </c>
      <c r="W630" s="10"/>
      <c r="X630" s="11" t="s">
        <v>34</v>
      </c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 t="s">
        <v>3156</v>
      </c>
      <c r="B631" s="10" t="s">
        <v>3083</v>
      </c>
      <c r="C631" s="10" t="s">
        <v>388</v>
      </c>
      <c r="D631" s="12" t="s">
        <v>3157</v>
      </c>
      <c r="E631" s="16" t="s">
        <v>3158</v>
      </c>
      <c r="F631" s="10" t="s">
        <v>3159</v>
      </c>
      <c r="G631" s="10"/>
      <c r="H631" s="10" t="s">
        <v>3160</v>
      </c>
      <c r="I631" s="10"/>
      <c r="J631" s="11" t="s">
        <v>34</v>
      </c>
      <c r="K631" s="11" t="s">
        <v>35</v>
      </c>
      <c r="L631" s="10"/>
      <c r="M631" s="11" t="s">
        <v>38</v>
      </c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1" t="s">
        <v>34</v>
      </c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 t="s">
        <v>3161</v>
      </c>
      <c r="B632" s="10" t="s">
        <v>3083</v>
      </c>
      <c r="C632" s="10" t="s">
        <v>250</v>
      </c>
      <c r="D632" s="12" t="s">
        <v>3162</v>
      </c>
      <c r="E632" s="16" t="s">
        <v>3163</v>
      </c>
      <c r="F632" s="10" t="s">
        <v>3148</v>
      </c>
      <c r="G632" s="10" t="s">
        <v>3149</v>
      </c>
      <c r="H632" s="10" t="s">
        <v>3164</v>
      </c>
      <c r="I632" s="10"/>
      <c r="J632" s="11" t="s">
        <v>38</v>
      </c>
      <c r="K632" s="10"/>
      <c r="L632" s="10"/>
      <c r="M632" s="11" t="s">
        <v>38</v>
      </c>
      <c r="N632" s="10"/>
      <c r="O632" s="10"/>
      <c r="P632" s="10"/>
      <c r="Q632" s="10"/>
      <c r="R632" s="10"/>
      <c r="S632" s="10"/>
      <c r="T632" s="10"/>
      <c r="U632" s="10"/>
      <c r="V632" s="11" t="s">
        <v>34</v>
      </c>
      <c r="W632" s="10"/>
      <c r="X632" s="11" t="s">
        <v>34</v>
      </c>
      <c r="Y632" s="10" t="s">
        <v>3165</v>
      </c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A633" s="10" t="s">
        <v>3166</v>
      </c>
      <c r="B633" s="10" t="s">
        <v>3083</v>
      </c>
      <c r="C633" s="10" t="s">
        <v>332</v>
      </c>
      <c r="D633" s="12" t="s">
        <v>3167</v>
      </c>
      <c r="E633" s="16">
        <v>4333992.0</v>
      </c>
      <c r="F633" s="10" t="s">
        <v>3168</v>
      </c>
      <c r="G633" s="10" t="s">
        <v>3169</v>
      </c>
      <c r="H633" s="10" t="s">
        <v>3170</v>
      </c>
      <c r="I633" s="11" t="s">
        <v>3171</v>
      </c>
      <c r="J633" s="11" t="s">
        <v>38</v>
      </c>
      <c r="K633" s="10"/>
      <c r="L633" s="11" t="s">
        <v>542</v>
      </c>
      <c r="M633" s="10" t="s">
        <v>3172</v>
      </c>
      <c r="N633" s="10"/>
      <c r="O633" s="11" t="s">
        <v>74</v>
      </c>
      <c r="P633" s="11" t="s">
        <v>74</v>
      </c>
      <c r="Q633" s="11" t="s">
        <v>74</v>
      </c>
      <c r="R633" s="11"/>
      <c r="S633" s="11" t="s">
        <v>38</v>
      </c>
      <c r="T633" s="11" t="s">
        <v>38</v>
      </c>
      <c r="U633" s="10" t="s">
        <v>3173</v>
      </c>
      <c r="V633" s="11" t="s">
        <v>34</v>
      </c>
      <c r="W633" s="10"/>
      <c r="X633" s="11" t="s">
        <v>34</v>
      </c>
      <c r="Y633" s="10" t="s">
        <v>3174</v>
      </c>
      <c r="Z633" s="11" t="s">
        <v>34</v>
      </c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 t="s">
        <v>3175</v>
      </c>
      <c r="B634" s="10" t="s">
        <v>3083</v>
      </c>
      <c r="C634" s="15" t="s">
        <v>211</v>
      </c>
      <c r="D634" s="12" t="s">
        <v>3176</v>
      </c>
      <c r="E634" s="16" t="s">
        <v>3177</v>
      </c>
      <c r="F634" s="10" t="s">
        <v>3178</v>
      </c>
      <c r="G634" s="10" t="s">
        <v>3179</v>
      </c>
      <c r="H634" s="10" t="s">
        <v>3180</v>
      </c>
      <c r="I634" s="10"/>
      <c r="J634" s="11" t="s">
        <v>34</v>
      </c>
      <c r="K634" s="11" t="s">
        <v>35</v>
      </c>
      <c r="L634" s="10"/>
      <c r="M634" s="11" t="s">
        <v>38</v>
      </c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 t="s">
        <v>3181</v>
      </c>
      <c r="B635" s="10" t="s">
        <v>3083</v>
      </c>
      <c r="C635" s="15" t="s">
        <v>211</v>
      </c>
      <c r="D635" s="12" t="s">
        <v>3182</v>
      </c>
      <c r="E635" s="16">
        <v>5212518.0</v>
      </c>
      <c r="F635" s="10" t="s">
        <v>3183</v>
      </c>
      <c r="G635" s="10" t="s">
        <v>3184</v>
      </c>
      <c r="H635" s="10" t="s">
        <v>3185</v>
      </c>
      <c r="I635" s="10"/>
      <c r="J635" s="11" t="s">
        <v>34</v>
      </c>
      <c r="K635" s="11" t="s">
        <v>35</v>
      </c>
      <c r="L635" s="10"/>
      <c r="M635" s="11" t="s">
        <v>38</v>
      </c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 t="s">
        <v>3186</v>
      </c>
      <c r="B636" s="10" t="s">
        <v>3083</v>
      </c>
      <c r="C636" s="15" t="s">
        <v>211</v>
      </c>
      <c r="D636" s="12" t="s">
        <v>3187</v>
      </c>
      <c r="E636" s="16" t="s">
        <v>3188</v>
      </c>
      <c r="F636" s="10" t="s">
        <v>3189</v>
      </c>
      <c r="G636" s="10"/>
      <c r="H636" s="10" t="s">
        <v>3190</v>
      </c>
      <c r="I636" s="10"/>
      <c r="J636" s="11" t="s">
        <v>34</v>
      </c>
      <c r="K636" s="11" t="s">
        <v>35</v>
      </c>
      <c r="L636" s="10"/>
      <c r="M636" s="11" t="s">
        <v>38</v>
      </c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 t="s">
        <v>3191</v>
      </c>
      <c r="B637" s="10" t="s">
        <v>3083</v>
      </c>
      <c r="C637" s="15" t="s">
        <v>400</v>
      </c>
      <c r="D637" s="12" t="s">
        <v>3192</v>
      </c>
      <c r="E637" s="16" t="s">
        <v>3193</v>
      </c>
      <c r="F637" s="10" t="s">
        <v>3194</v>
      </c>
      <c r="G637" s="10" t="s">
        <v>3195</v>
      </c>
      <c r="H637" s="10" t="s">
        <v>3196</v>
      </c>
      <c r="I637" s="10"/>
      <c r="J637" s="11" t="s">
        <v>34</v>
      </c>
      <c r="K637" s="11" t="s">
        <v>35</v>
      </c>
      <c r="L637" s="10"/>
      <c r="M637" s="10"/>
      <c r="N637" s="10"/>
      <c r="O637" s="11" t="s">
        <v>37</v>
      </c>
      <c r="P637" s="11" t="s">
        <v>37</v>
      </c>
      <c r="Q637" s="11" t="s">
        <v>37</v>
      </c>
      <c r="R637" s="10"/>
      <c r="S637" s="10"/>
      <c r="T637" s="10"/>
      <c r="U637" s="10"/>
      <c r="V637" s="10"/>
      <c r="W637" s="11" t="s">
        <v>34</v>
      </c>
      <c r="X637" s="11" t="s">
        <v>34</v>
      </c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 t="s">
        <v>3197</v>
      </c>
      <c r="B638" s="10" t="s">
        <v>3083</v>
      </c>
      <c r="C638" s="10" t="s">
        <v>332</v>
      </c>
      <c r="D638" s="12" t="s">
        <v>3198</v>
      </c>
      <c r="E638" s="16">
        <v>4333992.0</v>
      </c>
      <c r="F638" s="10" t="s">
        <v>3168</v>
      </c>
      <c r="G638" s="10" t="s">
        <v>3169</v>
      </c>
      <c r="H638" s="10" t="s">
        <v>3199</v>
      </c>
      <c r="I638" s="11">
        <v>600.0</v>
      </c>
      <c r="J638" s="11" t="s">
        <v>38</v>
      </c>
      <c r="K638" s="10"/>
      <c r="L638" s="11">
        <v>600.0</v>
      </c>
      <c r="M638" s="10" t="s">
        <v>3200</v>
      </c>
      <c r="N638" s="10"/>
      <c r="O638" s="11" t="s">
        <v>74</v>
      </c>
      <c r="P638" s="11" t="s">
        <v>74</v>
      </c>
      <c r="Q638" s="11" t="s">
        <v>74</v>
      </c>
      <c r="R638" s="10"/>
      <c r="S638" s="11" t="s">
        <v>38</v>
      </c>
      <c r="T638" s="11" t="s">
        <v>38</v>
      </c>
      <c r="U638" s="10" t="s">
        <v>536</v>
      </c>
      <c r="V638" s="11" t="s">
        <v>34</v>
      </c>
      <c r="W638" s="10"/>
      <c r="X638" s="11" t="s">
        <v>38</v>
      </c>
      <c r="Y638" s="10"/>
      <c r="Z638" s="11" t="s">
        <v>34</v>
      </c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 t="s">
        <v>3201</v>
      </c>
      <c r="B639" s="10" t="s">
        <v>3083</v>
      </c>
      <c r="C639" s="10" t="s">
        <v>332</v>
      </c>
      <c r="D639" s="12" t="s">
        <v>3202</v>
      </c>
      <c r="E639" s="16">
        <v>4333992.0</v>
      </c>
      <c r="F639" s="10" t="s">
        <v>3168</v>
      </c>
      <c r="G639" s="10" t="s">
        <v>3169</v>
      </c>
      <c r="H639" s="10" t="s">
        <v>3199</v>
      </c>
      <c r="I639" s="10" t="s">
        <v>2763</v>
      </c>
      <c r="J639" s="11" t="s">
        <v>38</v>
      </c>
      <c r="K639" s="10"/>
      <c r="L639" s="10"/>
      <c r="M639" s="11" t="s">
        <v>38</v>
      </c>
      <c r="N639" s="10"/>
      <c r="O639" s="11" t="s">
        <v>74</v>
      </c>
      <c r="P639" s="11" t="s">
        <v>74</v>
      </c>
      <c r="Q639" s="11" t="s">
        <v>74</v>
      </c>
      <c r="R639" s="10"/>
      <c r="S639" s="11" t="s">
        <v>38</v>
      </c>
      <c r="T639" s="11" t="s">
        <v>38</v>
      </c>
      <c r="U639" s="10"/>
      <c r="V639" s="11" t="s">
        <v>34</v>
      </c>
      <c r="W639" s="10"/>
      <c r="X639" s="11" t="s">
        <v>38</v>
      </c>
      <c r="Y639" s="10"/>
      <c r="Z639" s="11" t="s">
        <v>34</v>
      </c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 t="s">
        <v>3203</v>
      </c>
      <c r="B640" s="10" t="s">
        <v>3083</v>
      </c>
      <c r="C640" s="10" t="s">
        <v>332</v>
      </c>
      <c r="D640" s="12" t="s">
        <v>3204</v>
      </c>
      <c r="E640" s="16">
        <v>4333992.0</v>
      </c>
      <c r="F640" s="10" t="s">
        <v>3168</v>
      </c>
      <c r="G640" s="10" t="s">
        <v>3169</v>
      </c>
      <c r="H640" s="10" t="s">
        <v>3199</v>
      </c>
      <c r="I640" s="11">
        <v>8000.0</v>
      </c>
      <c r="J640" s="11" t="s">
        <v>38</v>
      </c>
      <c r="K640" s="10"/>
      <c r="L640" s="10"/>
      <c r="M640" s="10" t="s">
        <v>3205</v>
      </c>
      <c r="N640" s="10"/>
      <c r="O640" s="11" t="s">
        <v>74</v>
      </c>
      <c r="P640" s="11" t="s">
        <v>74</v>
      </c>
      <c r="Q640" s="11" t="s">
        <v>74</v>
      </c>
      <c r="R640" s="10"/>
      <c r="S640" s="11" t="s">
        <v>38</v>
      </c>
      <c r="T640" s="11" t="s">
        <v>38</v>
      </c>
      <c r="U640" s="10"/>
      <c r="V640" s="11" t="s">
        <v>34</v>
      </c>
      <c r="W640" s="10"/>
      <c r="X640" s="11" t="s">
        <v>38</v>
      </c>
      <c r="Y640" s="10"/>
      <c r="Z640" s="11" t="s">
        <v>34</v>
      </c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 t="s">
        <v>3206</v>
      </c>
      <c r="B641" s="10" t="s">
        <v>3083</v>
      </c>
      <c r="C641" s="15" t="s">
        <v>29</v>
      </c>
      <c r="D641" s="12" t="s">
        <v>3207</v>
      </c>
      <c r="E641" s="16">
        <v>4333992.0</v>
      </c>
      <c r="F641" s="10" t="s">
        <v>3168</v>
      </c>
      <c r="G641" s="10" t="s">
        <v>3169</v>
      </c>
      <c r="H641" s="10" t="s">
        <v>3208</v>
      </c>
      <c r="I641" s="10"/>
      <c r="J641" s="11" t="s">
        <v>34</v>
      </c>
      <c r="K641" s="11" t="s">
        <v>35</v>
      </c>
      <c r="L641" s="10"/>
      <c r="M641" s="10"/>
      <c r="N641" s="10"/>
      <c r="O641" s="11" t="s">
        <v>37</v>
      </c>
      <c r="P641" s="11" t="s">
        <v>37</v>
      </c>
      <c r="Q641" s="11" t="s">
        <v>37</v>
      </c>
      <c r="R641" s="11"/>
      <c r="S641" s="11" t="s">
        <v>34</v>
      </c>
      <c r="T641" s="32" t="s">
        <v>518</v>
      </c>
      <c r="U641" s="10"/>
      <c r="V641" s="10"/>
      <c r="W641" s="11" t="s">
        <v>34</v>
      </c>
      <c r="X641" s="11" t="s">
        <v>34</v>
      </c>
      <c r="Y641" s="10"/>
      <c r="Z641" s="11" t="s">
        <v>34</v>
      </c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 t="s">
        <v>3209</v>
      </c>
      <c r="B642" s="10" t="s">
        <v>3083</v>
      </c>
      <c r="C642" s="10" t="s">
        <v>90</v>
      </c>
      <c r="D642" s="12" t="s">
        <v>3210</v>
      </c>
      <c r="E642" s="16" t="s">
        <v>3211</v>
      </c>
      <c r="F642" s="10" t="s">
        <v>3168</v>
      </c>
      <c r="G642" s="10" t="s">
        <v>3169</v>
      </c>
      <c r="H642" s="10" t="s">
        <v>3212</v>
      </c>
      <c r="I642" s="10">
        <v>25.0</v>
      </c>
      <c r="J642" s="11" t="s">
        <v>38</v>
      </c>
      <c r="K642" s="10"/>
      <c r="L642" s="11"/>
      <c r="M642" s="11" t="s">
        <v>38</v>
      </c>
      <c r="N642" s="10"/>
      <c r="O642" s="11" t="s">
        <v>74</v>
      </c>
      <c r="P642" s="11" t="s">
        <v>74</v>
      </c>
      <c r="Q642" s="11" t="s">
        <v>74</v>
      </c>
      <c r="R642" s="10"/>
      <c r="S642" s="11" t="s">
        <v>34</v>
      </c>
      <c r="T642" s="32" t="s">
        <v>518</v>
      </c>
      <c r="U642" s="10"/>
      <c r="V642" s="11" t="s">
        <v>38</v>
      </c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 t="s">
        <v>3213</v>
      </c>
      <c r="B643" s="10" t="s">
        <v>3083</v>
      </c>
      <c r="C643" s="15" t="s">
        <v>79</v>
      </c>
      <c r="D643" s="12" t="s">
        <v>3214</v>
      </c>
      <c r="E643" s="16" t="s">
        <v>3215</v>
      </c>
      <c r="F643" s="10" t="s">
        <v>3216</v>
      </c>
      <c r="G643" s="10" t="s">
        <v>3217</v>
      </c>
      <c r="H643" s="10" t="s">
        <v>3218</v>
      </c>
      <c r="I643" s="10">
        <v>630.0</v>
      </c>
      <c r="J643" s="11" t="s">
        <v>34</v>
      </c>
      <c r="K643" s="11" t="s">
        <v>35</v>
      </c>
      <c r="L643" s="11">
        <v>500.0</v>
      </c>
      <c r="M643" s="10" t="s">
        <v>3219</v>
      </c>
      <c r="N643" s="23" t="s">
        <v>3220</v>
      </c>
      <c r="O643" s="11" t="s">
        <v>37</v>
      </c>
      <c r="P643" s="11" t="s">
        <v>37</v>
      </c>
      <c r="Q643" s="11" t="s">
        <v>37</v>
      </c>
      <c r="R643" s="10" t="s">
        <v>3221</v>
      </c>
      <c r="S643" s="11" t="s">
        <v>34</v>
      </c>
      <c r="T643" s="32" t="s">
        <v>518</v>
      </c>
      <c r="U643" s="10"/>
      <c r="V643" s="11" t="s">
        <v>34</v>
      </c>
      <c r="W643" s="11" t="s">
        <v>34</v>
      </c>
      <c r="X643" s="11" t="s">
        <v>34</v>
      </c>
      <c r="Y643" s="10" t="s">
        <v>412</v>
      </c>
      <c r="Z643" s="11" t="s">
        <v>3222</v>
      </c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>
      <c r="A644" s="11" t="s">
        <v>3223</v>
      </c>
      <c r="B644" s="10" t="s">
        <v>3083</v>
      </c>
      <c r="C644" s="15" t="s">
        <v>79</v>
      </c>
      <c r="D644" s="12" t="s">
        <v>3224</v>
      </c>
      <c r="E644" s="16" t="s">
        <v>3225</v>
      </c>
      <c r="F644" s="10" t="s">
        <v>3226</v>
      </c>
      <c r="G644" s="10" t="s">
        <v>3227</v>
      </c>
      <c r="H644" s="10" t="s">
        <v>3228</v>
      </c>
      <c r="I644" s="11" t="s">
        <v>3229</v>
      </c>
      <c r="J644" s="11" t="s">
        <v>34</v>
      </c>
      <c r="K644" s="11" t="s">
        <v>35</v>
      </c>
      <c r="L644" s="11">
        <v>100.0</v>
      </c>
      <c r="M644" s="10"/>
      <c r="N644" s="10"/>
      <c r="O644" s="11" t="s">
        <v>37</v>
      </c>
      <c r="P644" s="11" t="s">
        <v>37</v>
      </c>
      <c r="Q644" s="11" t="s">
        <v>37</v>
      </c>
      <c r="R644" s="10"/>
      <c r="S644" s="11" t="s">
        <v>34</v>
      </c>
      <c r="T644" s="32" t="s">
        <v>518</v>
      </c>
      <c r="U644" s="10"/>
      <c r="V644" s="10"/>
      <c r="W644" s="11" t="s">
        <v>34</v>
      </c>
      <c r="X644" s="11" t="s">
        <v>34</v>
      </c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36" t="s">
        <v>3230</v>
      </c>
      <c r="B645" s="37" t="s">
        <v>3231</v>
      </c>
      <c r="C645" s="37" t="s">
        <v>3232</v>
      </c>
      <c r="D645" s="38" t="s">
        <v>3233</v>
      </c>
      <c r="E645" s="36" t="s">
        <v>3234</v>
      </c>
      <c r="F645" s="36" t="s">
        <v>3235</v>
      </c>
      <c r="G645" s="36"/>
      <c r="H645" s="39" t="s">
        <v>3236</v>
      </c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11" t="s">
        <v>34</v>
      </c>
      <c r="Y645" s="37"/>
      <c r="Z645" s="5"/>
      <c r="AA645" s="40"/>
    </row>
    <row r="646">
      <c r="A646" s="36" t="s">
        <v>3237</v>
      </c>
      <c r="B646" s="37" t="s">
        <v>3231</v>
      </c>
      <c r="C646" s="37" t="s">
        <v>90</v>
      </c>
      <c r="D646" s="38" t="s">
        <v>3238</v>
      </c>
      <c r="E646" s="36" t="s">
        <v>3239</v>
      </c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11" t="s">
        <v>34</v>
      </c>
      <c r="Y646" s="37"/>
      <c r="Z646" s="5"/>
      <c r="AA646" s="40"/>
    </row>
    <row r="647">
      <c r="A647" s="36" t="s">
        <v>3240</v>
      </c>
      <c r="B647" s="37" t="s">
        <v>3231</v>
      </c>
      <c r="C647" s="37" t="s">
        <v>90</v>
      </c>
      <c r="D647" s="38" t="s">
        <v>3241</v>
      </c>
      <c r="E647" s="36" t="s">
        <v>3242</v>
      </c>
      <c r="F647" s="36" t="s">
        <v>3243</v>
      </c>
      <c r="G647" s="37"/>
      <c r="H647" s="36" t="s">
        <v>3244</v>
      </c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41" t="s">
        <v>34</v>
      </c>
      <c r="X647" s="11" t="s">
        <v>34</v>
      </c>
      <c r="Y647" s="37"/>
      <c r="Z647" s="5"/>
      <c r="AA647" s="40"/>
    </row>
    <row r="648">
      <c r="A648" s="36" t="s">
        <v>3245</v>
      </c>
      <c r="B648" s="37" t="s">
        <v>3231</v>
      </c>
      <c r="C648" s="37" t="s">
        <v>90</v>
      </c>
      <c r="D648" s="42"/>
      <c r="E648" s="36" t="s">
        <v>3246</v>
      </c>
      <c r="F648" s="37"/>
      <c r="G648" s="37"/>
      <c r="H648" s="37" t="s">
        <v>3247</v>
      </c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41" t="s">
        <v>34</v>
      </c>
      <c r="X648" s="11" t="s">
        <v>34</v>
      </c>
      <c r="Y648" s="37"/>
      <c r="Z648" s="5"/>
      <c r="AA648" s="40"/>
    </row>
    <row r="649">
      <c r="A649" s="36" t="s">
        <v>3248</v>
      </c>
      <c r="B649" s="37" t="s">
        <v>3231</v>
      </c>
      <c r="C649" s="37" t="s">
        <v>90</v>
      </c>
      <c r="D649" s="42"/>
      <c r="E649" s="36" t="s">
        <v>3246</v>
      </c>
      <c r="F649" s="37"/>
      <c r="G649" s="37"/>
      <c r="H649" s="37" t="s">
        <v>3249</v>
      </c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11" t="s">
        <v>34</v>
      </c>
      <c r="Y649" s="37"/>
      <c r="Z649" s="5"/>
      <c r="AA649" s="40"/>
    </row>
    <row r="650">
      <c r="A650" s="37" t="s">
        <v>3250</v>
      </c>
      <c r="B650" s="37" t="s">
        <v>3231</v>
      </c>
      <c r="C650" s="37" t="s">
        <v>400</v>
      </c>
      <c r="D650" s="38" t="s">
        <v>3251</v>
      </c>
      <c r="E650" s="36" t="s">
        <v>3252</v>
      </c>
      <c r="F650" s="36" t="s">
        <v>3253</v>
      </c>
      <c r="G650" s="36" t="s">
        <v>3254</v>
      </c>
      <c r="H650" s="36" t="s">
        <v>3255</v>
      </c>
      <c r="I650" s="37"/>
      <c r="J650" s="37"/>
      <c r="K650" s="37"/>
      <c r="L650" s="37"/>
      <c r="M650" s="37"/>
      <c r="N650" s="37"/>
      <c r="O650" s="11" t="s">
        <v>37</v>
      </c>
      <c r="P650" s="37"/>
      <c r="Q650" s="37"/>
      <c r="R650" s="37"/>
      <c r="S650" s="37"/>
      <c r="T650" s="37"/>
      <c r="U650" s="37"/>
      <c r="V650" s="37"/>
      <c r="W650" s="41" t="s">
        <v>34</v>
      </c>
      <c r="X650" s="11" t="s">
        <v>34</v>
      </c>
      <c r="Y650" s="37"/>
      <c r="Z650" s="5"/>
      <c r="AA650" s="40"/>
    </row>
    <row r="651">
      <c r="A651" s="36" t="s">
        <v>3256</v>
      </c>
      <c r="B651" s="37" t="s">
        <v>3231</v>
      </c>
      <c r="C651" s="37" t="s">
        <v>262</v>
      </c>
      <c r="D651" s="38" t="s">
        <v>3257</v>
      </c>
      <c r="E651" s="36">
        <v>5.5581236E7</v>
      </c>
      <c r="F651" s="36" t="s">
        <v>3258</v>
      </c>
      <c r="G651" s="36" t="s">
        <v>3259</v>
      </c>
      <c r="H651" s="37" t="s">
        <v>3249</v>
      </c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41" t="s">
        <v>34</v>
      </c>
      <c r="X651" s="11" t="s">
        <v>34</v>
      </c>
      <c r="Y651" s="37"/>
      <c r="Z651" s="5"/>
      <c r="AA651" s="40"/>
    </row>
    <row r="652">
      <c r="A652" s="36" t="s">
        <v>3260</v>
      </c>
      <c r="B652" s="37" t="s">
        <v>3231</v>
      </c>
      <c r="C652" s="37" t="s">
        <v>262</v>
      </c>
      <c r="D652" s="38" t="s">
        <v>3261</v>
      </c>
      <c r="E652" s="36">
        <v>5.3797608E7</v>
      </c>
      <c r="F652" s="36" t="s">
        <v>3262</v>
      </c>
      <c r="G652" s="36" t="s">
        <v>3263</v>
      </c>
      <c r="H652" s="36" t="s">
        <v>3264</v>
      </c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41" t="s">
        <v>34</v>
      </c>
      <c r="X652" s="11" t="s">
        <v>34</v>
      </c>
      <c r="Y652" s="37"/>
      <c r="Z652" s="5"/>
      <c r="AA652" s="40"/>
    </row>
    <row r="653">
      <c r="A653" s="36" t="s">
        <v>3265</v>
      </c>
      <c r="B653" s="37" t="s">
        <v>3231</v>
      </c>
      <c r="C653" s="37" t="s">
        <v>262</v>
      </c>
      <c r="D653" s="38" t="s">
        <v>3266</v>
      </c>
      <c r="E653" s="36">
        <v>5.6981116E7</v>
      </c>
      <c r="F653" s="36" t="s">
        <v>3267</v>
      </c>
      <c r="G653" s="36" t="s">
        <v>3268</v>
      </c>
      <c r="H653" s="36" t="s">
        <v>3269</v>
      </c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41" t="s">
        <v>34</v>
      </c>
      <c r="X653" s="11" t="s">
        <v>34</v>
      </c>
      <c r="Y653" s="37"/>
      <c r="Z653" s="5"/>
      <c r="AA653" s="40"/>
    </row>
    <row r="654">
      <c r="A654" s="36" t="s">
        <v>3270</v>
      </c>
      <c r="B654" s="37" t="s">
        <v>3231</v>
      </c>
      <c r="C654" s="37" t="s">
        <v>262</v>
      </c>
      <c r="D654" s="38" t="s">
        <v>3271</v>
      </c>
      <c r="E654" s="36">
        <v>5.3657396E7</v>
      </c>
      <c r="F654" s="36" t="s">
        <v>3272</v>
      </c>
      <c r="G654" s="36" t="s">
        <v>3273</v>
      </c>
      <c r="H654" s="36" t="s">
        <v>3274</v>
      </c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41" t="s">
        <v>34</v>
      </c>
      <c r="X654" s="11" t="s">
        <v>34</v>
      </c>
      <c r="Y654" s="37"/>
      <c r="Z654" s="5"/>
      <c r="AA654" s="40"/>
    </row>
    <row r="655">
      <c r="A655" s="36" t="s">
        <v>3275</v>
      </c>
      <c r="B655" s="37" t="s">
        <v>3231</v>
      </c>
      <c r="C655" s="37" t="s">
        <v>112</v>
      </c>
      <c r="D655" s="42" t="s">
        <v>2763</v>
      </c>
      <c r="E655" s="36" t="s">
        <v>3276</v>
      </c>
      <c r="F655" s="36" t="s">
        <v>3277</v>
      </c>
      <c r="G655" s="36" t="s">
        <v>3278</v>
      </c>
      <c r="H655" s="36" t="s">
        <v>3269</v>
      </c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11" t="s">
        <v>34</v>
      </c>
      <c r="X655" s="11" t="s">
        <v>34</v>
      </c>
      <c r="Y655" s="37"/>
      <c r="Z655" s="5"/>
      <c r="AA655" s="40"/>
    </row>
    <row r="656">
      <c r="A656" s="37" t="s">
        <v>3279</v>
      </c>
      <c r="B656" s="37" t="s">
        <v>3231</v>
      </c>
      <c r="C656" s="37" t="s">
        <v>112</v>
      </c>
      <c r="D656" s="42" t="s">
        <v>3280</v>
      </c>
      <c r="E656" s="36" t="s">
        <v>3281</v>
      </c>
      <c r="F656" s="36" t="s">
        <v>3282</v>
      </c>
      <c r="G656" s="36" t="s">
        <v>3283</v>
      </c>
      <c r="H656" s="36" t="s">
        <v>3264</v>
      </c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11" t="s">
        <v>34</v>
      </c>
      <c r="X656" s="11" t="s">
        <v>34</v>
      </c>
      <c r="Y656" s="37"/>
      <c r="Z656" s="5"/>
      <c r="AA656" s="40"/>
    </row>
    <row r="657">
      <c r="A657" s="37" t="s">
        <v>3284</v>
      </c>
      <c r="B657" s="37" t="s">
        <v>3231</v>
      </c>
      <c r="C657" s="37" t="s">
        <v>112</v>
      </c>
      <c r="D657" s="42" t="s">
        <v>2763</v>
      </c>
      <c r="E657" s="36" t="s">
        <v>3246</v>
      </c>
      <c r="F657" s="36" t="s">
        <v>3285</v>
      </c>
      <c r="G657" s="36" t="s">
        <v>3286</v>
      </c>
      <c r="H657" s="36" t="s">
        <v>3287</v>
      </c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11" t="s">
        <v>34</v>
      </c>
      <c r="X657" s="11" t="s">
        <v>34</v>
      </c>
      <c r="Y657" s="37"/>
      <c r="Z657" s="5"/>
      <c r="AA657" s="40"/>
    </row>
    <row r="658">
      <c r="A658" s="37" t="s">
        <v>3288</v>
      </c>
      <c r="B658" s="37" t="s">
        <v>3231</v>
      </c>
      <c r="C658" s="37" t="s">
        <v>112</v>
      </c>
      <c r="D658" s="43" t="s">
        <v>2763</v>
      </c>
      <c r="E658" s="36" t="s">
        <v>3289</v>
      </c>
      <c r="F658" s="36" t="s">
        <v>3290</v>
      </c>
      <c r="G658" s="36" t="s">
        <v>3291</v>
      </c>
      <c r="H658" s="36" t="s">
        <v>3292</v>
      </c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11" t="s">
        <v>34</v>
      </c>
      <c r="X658" s="11" t="s">
        <v>34</v>
      </c>
      <c r="Y658" s="37"/>
      <c r="Z658" s="5"/>
      <c r="AA658" s="40"/>
    </row>
    <row r="659">
      <c r="A659" s="36" t="s">
        <v>3293</v>
      </c>
      <c r="B659" s="37" t="s">
        <v>3231</v>
      </c>
      <c r="C659" s="37" t="s">
        <v>112</v>
      </c>
      <c r="D659" s="42"/>
      <c r="E659" s="36" t="s">
        <v>3294</v>
      </c>
      <c r="F659" s="36" t="s">
        <v>3295</v>
      </c>
      <c r="G659" s="36" t="s">
        <v>3296</v>
      </c>
      <c r="H659" s="36" t="s">
        <v>3297</v>
      </c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11" t="s">
        <v>34</v>
      </c>
      <c r="X659" s="11" t="s">
        <v>34</v>
      </c>
      <c r="Y659" s="37"/>
      <c r="Z659" s="5"/>
      <c r="AA659" s="40"/>
    </row>
    <row r="660">
      <c r="A660" s="36" t="s">
        <v>3298</v>
      </c>
      <c r="B660" s="37" t="s">
        <v>3231</v>
      </c>
      <c r="C660" s="37" t="s">
        <v>112</v>
      </c>
      <c r="D660" s="38" t="s">
        <v>3299</v>
      </c>
      <c r="E660" s="36" t="s">
        <v>3300</v>
      </c>
      <c r="F660" s="36" t="s">
        <v>3301</v>
      </c>
      <c r="G660" s="36" t="s">
        <v>3278</v>
      </c>
      <c r="H660" s="36" t="s">
        <v>3302</v>
      </c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11" t="s">
        <v>34</v>
      </c>
      <c r="X660" s="11" t="s">
        <v>34</v>
      </c>
      <c r="Y660" s="37"/>
      <c r="Z660" s="5"/>
      <c r="AA660" s="40"/>
    </row>
    <row r="661">
      <c r="A661" s="36" t="s">
        <v>3303</v>
      </c>
      <c r="B661" s="37" t="s">
        <v>3231</v>
      </c>
      <c r="C661" s="37" t="s">
        <v>388</v>
      </c>
      <c r="D661" s="38" t="s">
        <v>3304</v>
      </c>
      <c r="E661" s="36" t="s">
        <v>3305</v>
      </c>
      <c r="F661" s="36" t="s">
        <v>3306</v>
      </c>
      <c r="G661" s="36" t="s">
        <v>3307</v>
      </c>
      <c r="H661" s="36" t="s">
        <v>3308</v>
      </c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11" t="s">
        <v>34</v>
      </c>
      <c r="Y661" s="37"/>
      <c r="Z661" s="5"/>
      <c r="AA661" s="40"/>
    </row>
    <row r="662">
      <c r="A662" s="36" t="s">
        <v>3309</v>
      </c>
      <c r="B662" s="37" t="s">
        <v>3231</v>
      </c>
      <c r="C662" s="37" t="s">
        <v>388</v>
      </c>
      <c r="D662" s="38" t="s">
        <v>3304</v>
      </c>
      <c r="E662" s="36" t="s">
        <v>3310</v>
      </c>
      <c r="F662" s="37"/>
      <c r="G662" s="36" t="s">
        <v>3311</v>
      </c>
      <c r="H662" s="36" t="s">
        <v>3312</v>
      </c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11" t="s">
        <v>34</v>
      </c>
      <c r="Y662" s="37"/>
      <c r="Z662" s="5"/>
      <c r="AA662" s="40"/>
    </row>
    <row r="663">
      <c r="A663" s="36" t="s">
        <v>3313</v>
      </c>
      <c r="B663" s="37" t="s">
        <v>3231</v>
      </c>
      <c r="C663" s="37" t="s">
        <v>388</v>
      </c>
      <c r="D663" s="38" t="s">
        <v>3304</v>
      </c>
      <c r="E663" s="36" t="s">
        <v>3314</v>
      </c>
      <c r="F663" s="36" t="s">
        <v>3315</v>
      </c>
      <c r="G663" s="36" t="s">
        <v>3316</v>
      </c>
      <c r="H663" s="36" t="s">
        <v>3269</v>
      </c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41" t="s">
        <v>34</v>
      </c>
      <c r="Y663" s="37"/>
      <c r="Z663" s="5"/>
      <c r="AA663" s="40"/>
    </row>
    <row r="664">
      <c r="A664" s="36" t="s">
        <v>3317</v>
      </c>
      <c r="B664" s="37" t="s">
        <v>3231</v>
      </c>
      <c r="C664" s="41" t="s">
        <v>211</v>
      </c>
      <c r="D664" s="42"/>
      <c r="E664" s="36" t="s">
        <v>3318</v>
      </c>
      <c r="F664" s="36" t="s">
        <v>3319</v>
      </c>
      <c r="G664" s="36" t="s">
        <v>3320</v>
      </c>
      <c r="H664" s="36" t="s">
        <v>3321</v>
      </c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5"/>
      <c r="AA664" s="40"/>
    </row>
    <row r="665">
      <c r="A665" s="36" t="s">
        <v>3322</v>
      </c>
      <c r="B665" s="37" t="s">
        <v>3231</v>
      </c>
      <c r="C665" s="41" t="s">
        <v>211</v>
      </c>
      <c r="D665" s="42"/>
      <c r="E665" s="36" t="s">
        <v>3318</v>
      </c>
      <c r="F665" s="36" t="s">
        <v>3319</v>
      </c>
      <c r="G665" s="36" t="s">
        <v>3320</v>
      </c>
      <c r="H665" s="36" t="s">
        <v>3292</v>
      </c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44"/>
    </row>
    <row r="666">
      <c r="A666" s="36" t="s">
        <v>3323</v>
      </c>
      <c r="B666" s="37" t="s">
        <v>3231</v>
      </c>
      <c r="C666" s="41" t="s">
        <v>211</v>
      </c>
      <c r="D666" s="42"/>
      <c r="E666" s="36" t="s">
        <v>3324</v>
      </c>
      <c r="F666" s="36" t="s">
        <v>3325</v>
      </c>
      <c r="G666" s="36" t="s">
        <v>3326</v>
      </c>
      <c r="H666" s="36" t="s">
        <v>3327</v>
      </c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44"/>
    </row>
    <row r="667">
      <c r="A667" s="36" t="s">
        <v>3328</v>
      </c>
      <c r="B667" s="37" t="s">
        <v>3231</v>
      </c>
      <c r="C667" s="41" t="s">
        <v>211</v>
      </c>
      <c r="D667" s="38" t="s">
        <v>3329</v>
      </c>
      <c r="E667" s="36" t="s">
        <v>3330</v>
      </c>
      <c r="F667" s="36" t="s">
        <v>3331</v>
      </c>
      <c r="G667" s="36" t="s">
        <v>3332</v>
      </c>
      <c r="H667" s="36" t="s">
        <v>3333</v>
      </c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44"/>
    </row>
    <row r="668">
      <c r="A668" s="45" t="s">
        <v>3334</v>
      </c>
      <c r="B668" s="37" t="s">
        <v>3231</v>
      </c>
      <c r="C668" s="41" t="s">
        <v>29</v>
      </c>
      <c r="D668" s="38" t="s">
        <v>3335</v>
      </c>
      <c r="E668" s="36" t="s">
        <v>3336</v>
      </c>
      <c r="F668" s="36" t="s">
        <v>3337</v>
      </c>
      <c r="G668" s="36" t="s">
        <v>3338</v>
      </c>
      <c r="H668" s="36" t="s">
        <v>3292</v>
      </c>
      <c r="I668" s="37"/>
      <c r="J668" s="41" t="s">
        <v>34</v>
      </c>
      <c r="K668" s="41" t="s">
        <v>35</v>
      </c>
      <c r="L668" s="37">
        <v>300.0</v>
      </c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11" t="s">
        <v>34</v>
      </c>
      <c r="X668" s="11" t="s">
        <v>34</v>
      </c>
      <c r="Y668" s="41" t="s">
        <v>3339</v>
      </c>
      <c r="Z668" s="46" t="s">
        <v>34</v>
      </c>
    </row>
    <row r="669">
      <c r="A669" s="45" t="s">
        <v>3340</v>
      </c>
      <c r="B669" s="37" t="s">
        <v>3231</v>
      </c>
      <c r="C669" s="41" t="s">
        <v>29</v>
      </c>
      <c r="D669" s="38" t="s">
        <v>3341</v>
      </c>
      <c r="E669" s="36" t="s">
        <v>3342</v>
      </c>
      <c r="F669" s="36" t="s">
        <v>3343</v>
      </c>
      <c r="G669" s="36" t="s">
        <v>3344</v>
      </c>
      <c r="H669" s="36" t="s">
        <v>3345</v>
      </c>
      <c r="I669" s="37"/>
      <c r="J669" s="41" t="s">
        <v>34</v>
      </c>
      <c r="K669" s="41" t="s">
        <v>543</v>
      </c>
      <c r="L669" s="37"/>
      <c r="M669" s="37"/>
      <c r="O669" s="41" t="s">
        <v>37</v>
      </c>
      <c r="P669" s="41" t="s">
        <v>37</v>
      </c>
      <c r="Q669" s="41" t="s">
        <v>37</v>
      </c>
      <c r="R669" s="37"/>
      <c r="S669" s="41" t="s">
        <v>34</v>
      </c>
      <c r="T669" s="32" t="s">
        <v>518</v>
      </c>
      <c r="U669" s="37"/>
      <c r="V669" s="37"/>
      <c r="W669" s="11" t="s">
        <v>34</v>
      </c>
      <c r="X669" s="11" t="s">
        <v>34</v>
      </c>
      <c r="Y669" s="41" t="s">
        <v>3339</v>
      </c>
    </row>
    <row r="670">
      <c r="A670" s="45" t="s">
        <v>3346</v>
      </c>
      <c r="B670" s="37" t="s">
        <v>3231</v>
      </c>
      <c r="C670" s="41" t="s">
        <v>29</v>
      </c>
      <c r="D670" s="38" t="s">
        <v>3347</v>
      </c>
      <c r="E670" s="36" t="s">
        <v>3348</v>
      </c>
      <c r="F670" s="37"/>
      <c r="G670" s="36" t="s">
        <v>3349</v>
      </c>
      <c r="H670" s="37" t="s">
        <v>3350</v>
      </c>
      <c r="I670" s="37"/>
      <c r="J670" s="41" t="s">
        <v>34</v>
      </c>
      <c r="K670" s="41" t="s">
        <v>35</v>
      </c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11" t="s">
        <v>34</v>
      </c>
      <c r="X670" s="11" t="s">
        <v>34</v>
      </c>
      <c r="Y670" s="37"/>
    </row>
    <row r="671">
      <c r="A671" s="45" t="s">
        <v>3351</v>
      </c>
      <c r="B671" s="37" t="s">
        <v>3231</v>
      </c>
      <c r="C671" s="41" t="s">
        <v>29</v>
      </c>
      <c r="D671" s="38" t="s">
        <v>3352</v>
      </c>
      <c r="E671" s="36" t="s">
        <v>3342</v>
      </c>
      <c r="F671" s="36" t="s">
        <v>3343</v>
      </c>
      <c r="G671" s="36" t="s">
        <v>3344</v>
      </c>
      <c r="H671" s="37" t="s">
        <v>3249</v>
      </c>
      <c r="I671" s="37"/>
      <c r="J671" s="41" t="s">
        <v>34</v>
      </c>
      <c r="K671" s="41" t="s">
        <v>35</v>
      </c>
      <c r="L671" s="37"/>
      <c r="M671" s="37"/>
      <c r="N671" s="37"/>
      <c r="O671" s="41" t="s">
        <v>37</v>
      </c>
      <c r="P671" s="41" t="s">
        <v>37</v>
      </c>
      <c r="Q671" s="41" t="s">
        <v>37</v>
      </c>
      <c r="R671" s="37"/>
      <c r="S671" s="41" t="s">
        <v>34</v>
      </c>
      <c r="T671" s="32" t="s">
        <v>518</v>
      </c>
      <c r="U671" s="37"/>
      <c r="V671" s="37"/>
      <c r="W671" s="11" t="s">
        <v>34</v>
      </c>
      <c r="X671" s="11" t="s">
        <v>34</v>
      </c>
      <c r="Y671" s="41" t="s">
        <v>3339</v>
      </c>
    </row>
    <row r="672">
      <c r="A672" s="45" t="s">
        <v>3353</v>
      </c>
      <c r="B672" s="37" t="s">
        <v>3231</v>
      </c>
      <c r="C672" s="41" t="s">
        <v>29</v>
      </c>
      <c r="D672" s="38" t="s">
        <v>3354</v>
      </c>
      <c r="E672" s="36" t="s">
        <v>3336</v>
      </c>
      <c r="F672" s="36" t="s">
        <v>3337</v>
      </c>
      <c r="G672" s="36" t="s">
        <v>3338</v>
      </c>
      <c r="H672" s="36" t="s">
        <v>3355</v>
      </c>
      <c r="I672" s="37"/>
      <c r="J672" s="41" t="s">
        <v>34</v>
      </c>
      <c r="K672" s="41" t="s">
        <v>543</v>
      </c>
      <c r="L672" s="37"/>
      <c r="M672" s="37"/>
      <c r="N672" s="37"/>
      <c r="O672" s="41" t="s">
        <v>37</v>
      </c>
      <c r="P672" s="41" t="s">
        <v>37</v>
      </c>
      <c r="Q672" s="41" t="s">
        <v>37</v>
      </c>
      <c r="R672" s="37"/>
      <c r="S672" s="41" t="s">
        <v>34</v>
      </c>
      <c r="T672" s="32" t="s">
        <v>518</v>
      </c>
      <c r="U672" s="37"/>
      <c r="V672" s="37"/>
      <c r="W672" s="11" t="s">
        <v>34</v>
      </c>
      <c r="X672" s="41" t="s">
        <v>34</v>
      </c>
      <c r="Y672" s="41" t="s">
        <v>3339</v>
      </c>
      <c r="Z672" s="47" t="s">
        <v>34</v>
      </c>
    </row>
    <row r="673">
      <c r="A673" s="11"/>
      <c r="B673" s="10"/>
      <c r="C673" s="15"/>
      <c r="D673" s="12"/>
      <c r="E673" s="16"/>
      <c r="F673" s="10"/>
      <c r="G673" s="10"/>
      <c r="H673" s="10"/>
      <c r="I673" s="11"/>
      <c r="J673" s="11"/>
      <c r="K673" s="11"/>
      <c r="L673" s="11"/>
      <c r="M673" s="10"/>
      <c r="N673" s="2"/>
      <c r="O673" s="11"/>
      <c r="P673" s="11"/>
      <c r="Q673" s="1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1"/>
      <c r="B674" s="10"/>
      <c r="C674" s="15"/>
      <c r="D674" s="12"/>
      <c r="E674" s="16"/>
      <c r="F674" s="10"/>
      <c r="G674" s="10"/>
      <c r="H674" s="10"/>
      <c r="I674" s="11"/>
      <c r="J674" s="11"/>
      <c r="K674" s="11"/>
      <c r="L674" s="11"/>
      <c r="M674" s="10"/>
      <c r="N674" s="2"/>
      <c r="O674" s="11"/>
      <c r="P674" s="11"/>
      <c r="Q674" s="1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1"/>
      <c r="B675" s="10"/>
      <c r="C675" s="15"/>
      <c r="D675" s="12"/>
      <c r="E675" s="16"/>
      <c r="F675" s="10"/>
      <c r="G675" s="10"/>
      <c r="H675" s="10"/>
      <c r="I675" s="11"/>
      <c r="J675" s="11"/>
      <c r="K675" s="11"/>
      <c r="L675" s="11"/>
      <c r="M675" s="10"/>
      <c r="N675" s="2"/>
      <c r="O675" s="11"/>
      <c r="P675" s="11"/>
      <c r="Q675" s="1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1"/>
      <c r="B676" s="10"/>
      <c r="C676" s="15"/>
      <c r="D676" s="12"/>
      <c r="E676" s="16"/>
      <c r="F676" s="10"/>
      <c r="G676" s="10"/>
      <c r="H676" s="10"/>
      <c r="I676" s="11"/>
      <c r="J676" s="11"/>
      <c r="K676" s="11"/>
      <c r="L676" s="11"/>
      <c r="M676" s="10"/>
      <c r="N676" s="2"/>
      <c r="O676" s="11"/>
      <c r="P676" s="11"/>
      <c r="Q676" s="1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1"/>
      <c r="B677" s="10"/>
      <c r="C677" s="15"/>
      <c r="D677" s="12"/>
      <c r="E677" s="16"/>
      <c r="F677" s="10"/>
      <c r="G677" s="10"/>
      <c r="H677" s="10"/>
      <c r="I677" s="11"/>
      <c r="J677" s="11"/>
      <c r="K677" s="11"/>
      <c r="L677" s="11"/>
      <c r="M677" s="10"/>
      <c r="N677" s="2"/>
      <c r="O677" s="11"/>
      <c r="P677" s="11"/>
      <c r="Q677" s="1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1"/>
      <c r="B678" s="10"/>
      <c r="C678" s="15"/>
      <c r="D678" s="12"/>
      <c r="E678" s="16"/>
      <c r="F678" s="10"/>
      <c r="G678" s="10"/>
      <c r="H678" s="10"/>
      <c r="I678" s="11"/>
      <c r="J678" s="11"/>
      <c r="K678" s="11"/>
      <c r="L678" s="11"/>
      <c r="M678" s="10"/>
      <c r="N678" s="2"/>
      <c r="O678" s="11"/>
      <c r="P678" s="11"/>
      <c r="Q678" s="1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1"/>
      <c r="B679" s="10"/>
      <c r="C679" s="15"/>
      <c r="D679" s="12"/>
      <c r="E679" s="16"/>
      <c r="F679" s="10"/>
      <c r="G679" s="10"/>
      <c r="H679" s="10"/>
      <c r="I679" s="11"/>
      <c r="J679" s="11"/>
      <c r="K679" s="11"/>
      <c r="L679" s="11"/>
      <c r="M679" s="10"/>
      <c r="N679" s="2"/>
      <c r="O679" s="11"/>
      <c r="P679" s="11"/>
      <c r="Q679" s="1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1"/>
      <c r="B680" s="10"/>
      <c r="C680" s="15"/>
      <c r="D680" s="12"/>
      <c r="E680" s="16"/>
      <c r="F680" s="10"/>
      <c r="G680" s="10"/>
      <c r="H680" s="10"/>
      <c r="I680" s="11"/>
      <c r="J680" s="11"/>
      <c r="K680" s="11"/>
      <c r="L680" s="11"/>
      <c r="M680" s="10"/>
      <c r="N680" s="2"/>
      <c r="O680" s="11"/>
      <c r="P680" s="11"/>
      <c r="Q680" s="1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1"/>
      <c r="B681" s="10"/>
      <c r="C681" s="15"/>
      <c r="D681" s="12"/>
      <c r="E681" s="16"/>
      <c r="F681" s="10"/>
      <c r="G681" s="10"/>
      <c r="H681" s="10"/>
      <c r="I681" s="11"/>
      <c r="J681" s="11"/>
      <c r="K681" s="11"/>
      <c r="L681" s="11"/>
      <c r="M681" s="10"/>
      <c r="N681" s="2"/>
      <c r="O681" s="11"/>
      <c r="P681" s="11"/>
      <c r="Q681" s="1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1"/>
      <c r="B682" s="10"/>
      <c r="C682" s="15"/>
      <c r="D682" s="12"/>
      <c r="E682" s="16"/>
      <c r="F682" s="10"/>
      <c r="G682" s="10"/>
      <c r="H682" s="10"/>
      <c r="I682" s="11"/>
      <c r="J682" s="11"/>
      <c r="K682" s="11"/>
      <c r="L682" s="11"/>
      <c r="M682" s="10"/>
      <c r="N682" s="2"/>
      <c r="O682" s="11"/>
      <c r="P682" s="11"/>
      <c r="Q682" s="1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1"/>
      <c r="B683" s="10"/>
      <c r="C683" s="15"/>
      <c r="D683" s="12"/>
      <c r="E683" s="16"/>
      <c r="F683" s="10"/>
      <c r="G683" s="10"/>
      <c r="H683" s="10"/>
      <c r="I683" s="11"/>
      <c r="J683" s="11"/>
      <c r="K683" s="11"/>
      <c r="L683" s="11"/>
      <c r="M683" s="10"/>
      <c r="N683" s="2"/>
      <c r="O683" s="11"/>
      <c r="P683" s="11"/>
      <c r="Q683" s="1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1"/>
      <c r="B684" s="10"/>
      <c r="C684" s="15"/>
      <c r="D684" s="12"/>
      <c r="E684" s="16"/>
      <c r="F684" s="10"/>
      <c r="G684" s="10"/>
      <c r="H684" s="10"/>
      <c r="I684" s="11"/>
      <c r="J684" s="11"/>
      <c r="K684" s="11"/>
      <c r="L684" s="11"/>
      <c r="M684" s="10"/>
      <c r="N684" s="2"/>
      <c r="O684" s="11"/>
      <c r="P684" s="11"/>
      <c r="Q684" s="1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1"/>
      <c r="B685" s="10"/>
      <c r="C685" s="15"/>
      <c r="D685" s="12"/>
      <c r="E685" s="16"/>
      <c r="F685" s="10"/>
      <c r="G685" s="10"/>
      <c r="H685" s="10"/>
      <c r="I685" s="11"/>
      <c r="J685" s="11"/>
      <c r="K685" s="11"/>
      <c r="L685" s="11"/>
      <c r="M685" s="10"/>
      <c r="N685" s="2"/>
      <c r="O685" s="11"/>
      <c r="P685" s="11"/>
      <c r="Q685" s="1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1"/>
      <c r="B686" s="10"/>
      <c r="C686" s="15"/>
      <c r="D686" s="12"/>
      <c r="E686" s="16"/>
      <c r="F686" s="10"/>
      <c r="G686" s="10"/>
      <c r="H686" s="10"/>
      <c r="I686" s="11"/>
      <c r="J686" s="11"/>
      <c r="K686" s="11"/>
      <c r="L686" s="11"/>
      <c r="M686" s="10"/>
      <c r="N686" s="2"/>
      <c r="O686" s="11"/>
      <c r="P686" s="11"/>
      <c r="Q686" s="1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1"/>
      <c r="B687" s="10"/>
      <c r="C687" s="15"/>
      <c r="D687" s="12"/>
      <c r="E687" s="16"/>
      <c r="F687" s="10"/>
      <c r="G687" s="10"/>
      <c r="H687" s="10"/>
      <c r="I687" s="11"/>
      <c r="J687" s="11"/>
      <c r="K687" s="11"/>
      <c r="L687" s="11"/>
      <c r="M687" s="10"/>
      <c r="N687" s="2"/>
      <c r="O687" s="11"/>
      <c r="P687" s="11"/>
      <c r="Q687" s="1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1"/>
      <c r="B688" s="10"/>
      <c r="C688" s="15"/>
      <c r="D688" s="12"/>
      <c r="E688" s="16"/>
      <c r="F688" s="10"/>
      <c r="G688" s="10"/>
      <c r="H688" s="10"/>
      <c r="I688" s="11"/>
      <c r="J688" s="11"/>
      <c r="K688" s="11"/>
      <c r="L688" s="11"/>
      <c r="M688" s="10"/>
      <c r="N688" s="2"/>
      <c r="O688" s="11"/>
      <c r="P688" s="11"/>
      <c r="Q688" s="1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1"/>
      <c r="B689" s="10"/>
      <c r="C689" s="15"/>
      <c r="D689" s="12"/>
      <c r="E689" s="16"/>
      <c r="F689" s="10"/>
      <c r="G689" s="10"/>
      <c r="H689" s="10"/>
      <c r="I689" s="11"/>
      <c r="J689" s="11"/>
      <c r="K689" s="11"/>
      <c r="L689" s="11"/>
      <c r="M689" s="10"/>
      <c r="N689" s="2"/>
      <c r="O689" s="11"/>
      <c r="P689" s="11"/>
      <c r="Q689" s="1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1"/>
      <c r="B690" s="10"/>
      <c r="C690" s="15"/>
      <c r="D690" s="12"/>
      <c r="E690" s="16"/>
      <c r="F690" s="10"/>
      <c r="G690" s="10"/>
      <c r="H690" s="10"/>
      <c r="I690" s="11"/>
      <c r="J690" s="11"/>
      <c r="K690" s="11"/>
      <c r="L690" s="11"/>
      <c r="M690" s="10"/>
      <c r="N690" s="2"/>
      <c r="O690" s="11"/>
      <c r="P690" s="11"/>
      <c r="Q690" s="1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1"/>
      <c r="B691" s="10"/>
      <c r="C691" s="15"/>
      <c r="D691" s="12"/>
      <c r="E691" s="16"/>
      <c r="F691" s="10"/>
      <c r="G691" s="10"/>
      <c r="H691" s="10"/>
      <c r="I691" s="11"/>
      <c r="J691" s="11"/>
      <c r="K691" s="11"/>
      <c r="L691" s="11"/>
      <c r="M691" s="10"/>
      <c r="N691" s="2"/>
      <c r="O691" s="11"/>
      <c r="P691" s="11"/>
      <c r="Q691" s="1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1"/>
      <c r="B692" s="10"/>
      <c r="C692" s="15"/>
      <c r="D692" s="12"/>
      <c r="E692" s="16"/>
      <c r="F692" s="10"/>
      <c r="G692" s="10"/>
      <c r="H692" s="10"/>
      <c r="I692" s="11"/>
      <c r="J692" s="11"/>
      <c r="K692" s="11"/>
      <c r="L692" s="11"/>
      <c r="M692" s="10"/>
      <c r="N692" s="2"/>
      <c r="O692" s="11"/>
      <c r="P692" s="11"/>
      <c r="Q692" s="1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1"/>
      <c r="B693" s="10"/>
      <c r="C693" s="15"/>
      <c r="D693" s="12"/>
      <c r="E693" s="16"/>
      <c r="F693" s="10"/>
      <c r="G693" s="10"/>
      <c r="H693" s="10"/>
      <c r="I693" s="11"/>
      <c r="J693" s="11"/>
      <c r="K693" s="11"/>
      <c r="L693" s="11"/>
      <c r="M693" s="10"/>
      <c r="N693" s="2"/>
      <c r="O693" s="11"/>
      <c r="P693" s="11"/>
      <c r="Q693" s="1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1"/>
      <c r="B694" s="10"/>
      <c r="C694" s="15"/>
      <c r="D694" s="12"/>
      <c r="E694" s="16"/>
      <c r="F694" s="10"/>
      <c r="G694" s="10"/>
      <c r="H694" s="10"/>
      <c r="I694" s="11"/>
      <c r="J694" s="11"/>
      <c r="K694" s="11"/>
      <c r="L694" s="11"/>
      <c r="M694" s="10"/>
      <c r="N694" s="2"/>
      <c r="O694" s="11"/>
      <c r="P694" s="11"/>
      <c r="Q694" s="1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1"/>
      <c r="B695" s="10"/>
      <c r="C695" s="15"/>
      <c r="D695" s="12"/>
      <c r="E695" s="16"/>
      <c r="F695" s="10"/>
      <c r="G695" s="10"/>
      <c r="H695" s="10"/>
      <c r="I695" s="11"/>
      <c r="J695" s="11"/>
      <c r="K695" s="11"/>
      <c r="L695" s="11"/>
      <c r="M695" s="10"/>
      <c r="N695" s="2"/>
      <c r="O695" s="11"/>
      <c r="P695" s="11"/>
      <c r="Q695" s="1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1"/>
      <c r="B696" s="10"/>
      <c r="C696" s="15"/>
      <c r="D696" s="12"/>
      <c r="E696" s="16"/>
      <c r="F696" s="10"/>
      <c r="G696" s="10"/>
      <c r="H696" s="10"/>
      <c r="I696" s="11"/>
      <c r="J696" s="11"/>
      <c r="K696" s="11"/>
      <c r="L696" s="11"/>
      <c r="M696" s="10"/>
      <c r="N696" s="2"/>
      <c r="O696" s="11"/>
      <c r="P696" s="11"/>
      <c r="Q696" s="1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1"/>
      <c r="B697" s="10"/>
      <c r="C697" s="15"/>
      <c r="D697" s="12"/>
      <c r="E697" s="16"/>
      <c r="F697" s="10"/>
      <c r="G697" s="10"/>
      <c r="H697" s="10"/>
      <c r="I697" s="11"/>
      <c r="J697" s="11"/>
      <c r="K697" s="11"/>
      <c r="L697" s="11"/>
      <c r="M697" s="10"/>
      <c r="N697" s="2"/>
      <c r="O697" s="11"/>
      <c r="P697" s="11"/>
      <c r="Q697" s="1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1"/>
      <c r="B698" s="10"/>
      <c r="C698" s="15"/>
      <c r="D698" s="12"/>
      <c r="E698" s="16"/>
      <c r="F698" s="10"/>
      <c r="G698" s="10"/>
      <c r="H698" s="10"/>
      <c r="I698" s="11"/>
      <c r="J698" s="11"/>
      <c r="K698" s="11"/>
      <c r="L698" s="11"/>
      <c r="M698" s="10"/>
      <c r="N698" s="2"/>
      <c r="O698" s="11"/>
      <c r="P698" s="11"/>
      <c r="Q698" s="1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1"/>
      <c r="B699" s="10"/>
      <c r="C699" s="15"/>
      <c r="D699" s="12"/>
      <c r="E699" s="16"/>
      <c r="F699" s="10"/>
      <c r="G699" s="10"/>
      <c r="H699" s="10"/>
      <c r="I699" s="11"/>
      <c r="J699" s="11"/>
      <c r="K699" s="11"/>
      <c r="L699" s="11"/>
      <c r="M699" s="10"/>
      <c r="N699" s="2"/>
      <c r="O699" s="11"/>
      <c r="P699" s="11"/>
      <c r="Q699" s="1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1"/>
      <c r="B700" s="10"/>
      <c r="C700" s="15"/>
      <c r="D700" s="12"/>
      <c r="E700" s="16"/>
      <c r="F700" s="10"/>
      <c r="G700" s="10"/>
      <c r="H700" s="10"/>
      <c r="I700" s="11"/>
      <c r="J700" s="11"/>
      <c r="K700" s="11"/>
      <c r="L700" s="11"/>
      <c r="M700" s="10"/>
      <c r="N700" s="2"/>
      <c r="O700" s="11"/>
      <c r="P700" s="11"/>
      <c r="Q700" s="1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1"/>
      <c r="B701" s="10"/>
      <c r="C701" s="15"/>
      <c r="D701" s="12"/>
      <c r="E701" s="16"/>
      <c r="F701" s="10"/>
      <c r="G701" s="10"/>
      <c r="H701" s="10"/>
      <c r="I701" s="11"/>
      <c r="J701" s="11"/>
      <c r="K701" s="11"/>
      <c r="L701" s="11"/>
      <c r="M701" s="10"/>
      <c r="N701" s="2"/>
      <c r="O701" s="11"/>
      <c r="P701" s="11"/>
      <c r="Q701" s="1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1"/>
      <c r="B702" s="10"/>
      <c r="C702" s="15"/>
      <c r="D702" s="12"/>
      <c r="E702" s="16"/>
      <c r="F702" s="10"/>
      <c r="G702" s="10"/>
      <c r="H702" s="10"/>
      <c r="I702" s="11"/>
      <c r="J702" s="11"/>
      <c r="K702" s="11"/>
      <c r="L702" s="11"/>
      <c r="M702" s="10"/>
      <c r="N702" s="2"/>
      <c r="O702" s="11"/>
      <c r="P702" s="11"/>
      <c r="Q702" s="1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1"/>
      <c r="B703" s="10"/>
      <c r="C703" s="15"/>
      <c r="D703" s="12"/>
      <c r="E703" s="16"/>
      <c r="F703" s="10"/>
      <c r="G703" s="10"/>
      <c r="H703" s="10"/>
      <c r="I703" s="11"/>
      <c r="J703" s="11"/>
      <c r="K703" s="11"/>
      <c r="L703" s="11"/>
      <c r="M703" s="10"/>
      <c r="N703" s="2"/>
      <c r="O703" s="11"/>
      <c r="P703" s="11"/>
      <c r="Q703" s="1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1"/>
      <c r="B704" s="10"/>
      <c r="C704" s="15"/>
      <c r="D704" s="12"/>
      <c r="E704" s="16"/>
      <c r="F704" s="10"/>
      <c r="G704" s="10"/>
      <c r="H704" s="10"/>
      <c r="I704" s="11"/>
      <c r="J704" s="11"/>
      <c r="K704" s="11"/>
      <c r="L704" s="11"/>
      <c r="M704" s="10"/>
      <c r="N704" s="2"/>
      <c r="O704" s="11"/>
      <c r="P704" s="11"/>
      <c r="Q704" s="1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1"/>
      <c r="B705" s="10"/>
      <c r="C705" s="15"/>
      <c r="D705" s="12"/>
      <c r="E705" s="16"/>
      <c r="F705" s="10"/>
      <c r="G705" s="10"/>
      <c r="H705" s="10"/>
      <c r="I705" s="11"/>
      <c r="J705" s="11"/>
      <c r="K705" s="11"/>
      <c r="L705" s="11"/>
      <c r="M705" s="10"/>
      <c r="N705" s="2"/>
      <c r="O705" s="11"/>
      <c r="P705" s="11"/>
      <c r="Q705" s="1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1"/>
      <c r="B706" s="10"/>
      <c r="C706" s="15"/>
      <c r="D706" s="12"/>
      <c r="E706" s="16"/>
      <c r="F706" s="10"/>
      <c r="G706" s="10"/>
      <c r="H706" s="10"/>
      <c r="I706" s="11"/>
      <c r="J706" s="11"/>
      <c r="K706" s="11"/>
      <c r="L706" s="11"/>
      <c r="M706" s="10"/>
      <c r="N706" s="2"/>
      <c r="O706" s="11"/>
      <c r="P706" s="11"/>
      <c r="Q706" s="1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1"/>
      <c r="B707" s="10"/>
      <c r="C707" s="15"/>
      <c r="D707" s="12"/>
      <c r="E707" s="16"/>
      <c r="F707" s="10"/>
      <c r="G707" s="10"/>
      <c r="H707" s="10"/>
      <c r="I707" s="11"/>
      <c r="J707" s="11"/>
      <c r="K707" s="11"/>
      <c r="L707" s="11"/>
      <c r="M707" s="10"/>
      <c r="N707" s="2"/>
      <c r="O707" s="11"/>
      <c r="P707" s="11"/>
      <c r="Q707" s="1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1"/>
      <c r="B708" s="10"/>
      <c r="C708" s="15"/>
      <c r="D708" s="12"/>
      <c r="E708" s="16"/>
      <c r="F708" s="10"/>
      <c r="G708" s="10"/>
      <c r="H708" s="10"/>
      <c r="I708" s="11"/>
      <c r="J708" s="11"/>
      <c r="K708" s="11"/>
      <c r="L708" s="11"/>
      <c r="M708" s="10"/>
      <c r="N708" s="2"/>
      <c r="O708" s="11"/>
      <c r="P708" s="11"/>
      <c r="Q708" s="1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1"/>
      <c r="B709" s="10"/>
      <c r="C709" s="15"/>
      <c r="D709" s="12"/>
      <c r="E709" s="16"/>
      <c r="F709" s="10"/>
      <c r="G709" s="10"/>
      <c r="H709" s="10"/>
      <c r="I709" s="11"/>
      <c r="J709" s="11"/>
      <c r="K709" s="11"/>
      <c r="L709" s="11"/>
      <c r="M709" s="10"/>
      <c r="N709" s="2"/>
      <c r="O709" s="11"/>
      <c r="P709" s="11"/>
      <c r="Q709" s="1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1"/>
      <c r="B710" s="10"/>
      <c r="C710" s="15"/>
      <c r="D710" s="12"/>
      <c r="E710" s="16"/>
      <c r="F710" s="10"/>
      <c r="G710" s="10"/>
      <c r="H710" s="10"/>
      <c r="I710" s="11"/>
      <c r="J710" s="11"/>
      <c r="K710" s="11"/>
      <c r="L710" s="11"/>
      <c r="M710" s="10"/>
      <c r="N710" s="2"/>
      <c r="O710" s="11"/>
      <c r="P710" s="11"/>
      <c r="Q710" s="1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1"/>
      <c r="B711" s="10"/>
      <c r="C711" s="15"/>
      <c r="D711" s="12"/>
      <c r="E711" s="16"/>
      <c r="F711" s="10"/>
      <c r="G711" s="10"/>
      <c r="H711" s="10"/>
      <c r="I711" s="11"/>
      <c r="J711" s="11"/>
      <c r="K711" s="11"/>
      <c r="L711" s="11"/>
      <c r="M711" s="10"/>
      <c r="N711" s="2"/>
      <c r="O711" s="11"/>
      <c r="P711" s="11"/>
      <c r="Q711" s="1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1"/>
      <c r="B712" s="10"/>
      <c r="C712" s="15"/>
      <c r="D712" s="12"/>
      <c r="E712" s="16"/>
      <c r="F712" s="10"/>
      <c r="G712" s="10"/>
      <c r="H712" s="10"/>
      <c r="I712" s="11"/>
      <c r="J712" s="11"/>
      <c r="K712" s="11"/>
      <c r="L712" s="11"/>
      <c r="M712" s="10"/>
      <c r="N712" s="2"/>
      <c r="O712" s="11"/>
      <c r="P712" s="11"/>
      <c r="Q712" s="1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1"/>
      <c r="B713" s="10"/>
      <c r="C713" s="15"/>
      <c r="D713" s="12"/>
      <c r="E713" s="16"/>
      <c r="F713" s="10"/>
      <c r="G713" s="10"/>
      <c r="H713" s="10"/>
      <c r="I713" s="11"/>
      <c r="J713" s="11"/>
      <c r="K713" s="11"/>
      <c r="L713" s="11"/>
      <c r="M713" s="10"/>
      <c r="N713" s="2"/>
      <c r="O713" s="11"/>
      <c r="P713" s="11"/>
      <c r="Q713" s="1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1"/>
      <c r="B714" s="10"/>
      <c r="C714" s="15"/>
      <c r="D714" s="12"/>
      <c r="E714" s="16"/>
      <c r="F714" s="10"/>
      <c r="G714" s="10"/>
      <c r="H714" s="10"/>
      <c r="I714" s="11"/>
      <c r="J714" s="11"/>
      <c r="K714" s="11"/>
      <c r="L714" s="11"/>
      <c r="M714" s="10"/>
      <c r="N714" s="2"/>
      <c r="O714" s="11"/>
      <c r="P714" s="11"/>
      <c r="Q714" s="1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1"/>
      <c r="B715" s="10"/>
      <c r="C715" s="15"/>
      <c r="D715" s="12"/>
      <c r="E715" s="16"/>
      <c r="F715" s="10"/>
      <c r="G715" s="10"/>
      <c r="H715" s="10"/>
      <c r="I715" s="11"/>
      <c r="J715" s="11"/>
      <c r="K715" s="11"/>
      <c r="L715" s="11"/>
      <c r="M715" s="10"/>
      <c r="N715" s="2"/>
      <c r="O715" s="11"/>
      <c r="P715" s="11"/>
      <c r="Q715" s="1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1"/>
      <c r="B716" s="10"/>
      <c r="C716" s="15"/>
      <c r="D716" s="12"/>
      <c r="E716" s="16"/>
      <c r="F716" s="10"/>
      <c r="G716" s="10"/>
      <c r="H716" s="10"/>
      <c r="I716" s="11"/>
      <c r="J716" s="11"/>
      <c r="K716" s="11"/>
      <c r="L716" s="11"/>
      <c r="M716" s="10"/>
      <c r="N716" s="2"/>
      <c r="O716" s="11"/>
      <c r="P716" s="11"/>
      <c r="Q716" s="1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1"/>
      <c r="B717" s="10"/>
      <c r="C717" s="15"/>
      <c r="D717" s="12"/>
      <c r="E717" s="16"/>
      <c r="F717" s="10"/>
      <c r="G717" s="10"/>
      <c r="H717" s="10"/>
      <c r="I717" s="11"/>
      <c r="J717" s="11"/>
      <c r="K717" s="11"/>
      <c r="L717" s="11"/>
      <c r="M717" s="10"/>
      <c r="N717" s="2"/>
      <c r="O717" s="11"/>
      <c r="P717" s="11"/>
      <c r="Q717" s="1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1"/>
      <c r="B718" s="10"/>
      <c r="C718" s="15"/>
      <c r="D718" s="12"/>
      <c r="E718" s="16"/>
      <c r="F718" s="10"/>
      <c r="G718" s="10"/>
      <c r="H718" s="10"/>
      <c r="I718" s="11"/>
      <c r="J718" s="11"/>
      <c r="K718" s="11"/>
      <c r="L718" s="11"/>
      <c r="M718" s="10"/>
      <c r="N718" s="2"/>
      <c r="O718" s="11"/>
      <c r="P718" s="11"/>
      <c r="Q718" s="1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1"/>
      <c r="B719" s="10"/>
      <c r="C719" s="15"/>
      <c r="D719" s="12"/>
      <c r="E719" s="16"/>
      <c r="F719" s="10"/>
      <c r="G719" s="10"/>
      <c r="H719" s="10"/>
      <c r="I719" s="11"/>
      <c r="J719" s="11"/>
      <c r="K719" s="11"/>
      <c r="L719" s="11"/>
      <c r="M719" s="10"/>
      <c r="N719" s="2"/>
      <c r="O719" s="11"/>
      <c r="P719" s="11"/>
      <c r="Q719" s="1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1"/>
      <c r="B720" s="10"/>
      <c r="C720" s="15"/>
      <c r="D720" s="12"/>
      <c r="E720" s="16"/>
      <c r="F720" s="10"/>
      <c r="G720" s="10"/>
      <c r="H720" s="10"/>
      <c r="I720" s="11"/>
      <c r="J720" s="11"/>
      <c r="K720" s="11"/>
      <c r="L720" s="11"/>
      <c r="M720" s="10"/>
      <c r="N720" s="2"/>
      <c r="O720" s="11"/>
      <c r="P720" s="11"/>
      <c r="Q720" s="1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1"/>
      <c r="B721" s="10"/>
      <c r="C721" s="15"/>
      <c r="D721" s="12"/>
      <c r="E721" s="16"/>
      <c r="F721" s="10"/>
      <c r="G721" s="10"/>
      <c r="H721" s="10"/>
      <c r="I721" s="11"/>
      <c r="J721" s="11"/>
      <c r="K721" s="11"/>
      <c r="L721" s="11"/>
      <c r="M721" s="10"/>
      <c r="N721" s="2"/>
      <c r="O721" s="11"/>
      <c r="P721" s="11"/>
      <c r="Q721" s="1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1"/>
      <c r="B722" s="10"/>
      <c r="C722" s="15"/>
      <c r="D722" s="12"/>
      <c r="E722" s="16"/>
      <c r="F722" s="10"/>
      <c r="G722" s="10"/>
      <c r="H722" s="10"/>
      <c r="I722" s="11"/>
      <c r="J722" s="11"/>
      <c r="K722" s="11"/>
      <c r="L722" s="11"/>
      <c r="M722" s="10"/>
      <c r="N722" s="2"/>
      <c r="O722" s="11"/>
      <c r="P722" s="11"/>
      <c r="Q722" s="1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1"/>
      <c r="B723" s="10"/>
      <c r="C723" s="15"/>
      <c r="D723" s="12"/>
      <c r="E723" s="16"/>
      <c r="F723" s="10"/>
      <c r="G723" s="10"/>
      <c r="H723" s="10"/>
      <c r="I723" s="11"/>
      <c r="J723" s="11"/>
      <c r="K723" s="11"/>
      <c r="L723" s="11"/>
      <c r="M723" s="10"/>
      <c r="N723" s="2"/>
      <c r="O723" s="11"/>
      <c r="P723" s="11"/>
      <c r="Q723" s="1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1"/>
      <c r="B724" s="10"/>
      <c r="C724" s="15"/>
      <c r="D724" s="12"/>
      <c r="E724" s="16"/>
      <c r="F724" s="10"/>
      <c r="G724" s="10"/>
      <c r="H724" s="10"/>
      <c r="I724" s="11"/>
      <c r="J724" s="11"/>
      <c r="K724" s="11"/>
      <c r="L724" s="11"/>
      <c r="M724" s="10"/>
      <c r="N724" s="2"/>
      <c r="O724" s="11"/>
      <c r="P724" s="11"/>
      <c r="Q724" s="1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1"/>
      <c r="B725" s="10"/>
      <c r="C725" s="15"/>
      <c r="D725" s="12"/>
      <c r="E725" s="16"/>
      <c r="F725" s="10"/>
      <c r="G725" s="10"/>
      <c r="H725" s="10"/>
      <c r="I725" s="11"/>
      <c r="J725" s="11"/>
      <c r="K725" s="11"/>
      <c r="L725" s="11"/>
      <c r="M725" s="10"/>
      <c r="N725" s="2"/>
      <c r="O725" s="11"/>
      <c r="P725" s="11"/>
      <c r="Q725" s="1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1"/>
      <c r="B726" s="10"/>
      <c r="C726" s="15"/>
      <c r="D726" s="12"/>
      <c r="E726" s="16"/>
      <c r="F726" s="10"/>
      <c r="G726" s="10"/>
      <c r="H726" s="10"/>
      <c r="I726" s="11"/>
      <c r="J726" s="11"/>
      <c r="K726" s="11"/>
      <c r="L726" s="11"/>
      <c r="M726" s="10"/>
      <c r="N726" s="2"/>
      <c r="O726" s="11"/>
      <c r="P726" s="11"/>
      <c r="Q726" s="1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1"/>
      <c r="B727" s="10"/>
      <c r="C727" s="15"/>
      <c r="D727" s="12"/>
      <c r="E727" s="16"/>
      <c r="F727" s="10"/>
      <c r="G727" s="10"/>
      <c r="H727" s="10"/>
      <c r="I727" s="11"/>
      <c r="J727" s="11"/>
      <c r="K727" s="11"/>
      <c r="L727" s="11"/>
      <c r="M727" s="10"/>
      <c r="N727" s="2"/>
      <c r="O727" s="11"/>
      <c r="P727" s="11"/>
      <c r="Q727" s="1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1"/>
      <c r="B728" s="10"/>
      <c r="C728" s="15"/>
      <c r="D728" s="12"/>
      <c r="E728" s="16"/>
      <c r="F728" s="10"/>
      <c r="G728" s="10"/>
      <c r="H728" s="10"/>
      <c r="I728" s="11"/>
      <c r="J728" s="11"/>
      <c r="K728" s="11"/>
      <c r="L728" s="11"/>
      <c r="M728" s="10"/>
      <c r="N728" s="2"/>
      <c r="O728" s="11"/>
      <c r="P728" s="11"/>
      <c r="Q728" s="1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1"/>
      <c r="B729" s="10"/>
      <c r="C729" s="15"/>
      <c r="D729" s="12"/>
      <c r="E729" s="16"/>
      <c r="F729" s="10"/>
      <c r="G729" s="10"/>
      <c r="H729" s="10"/>
      <c r="I729" s="11"/>
      <c r="J729" s="11"/>
      <c r="K729" s="11"/>
      <c r="L729" s="11"/>
      <c r="M729" s="10"/>
      <c r="N729" s="2"/>
      <c r="O729" s="11"/>
      <c r="P729" s="11"/>
      <c r="Q729" s="1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1"/>
      <c r="B730" s="10"/>
      <c r="C730" s="15"/>
      <c r="D730" s="12"/>
      <c r="E730" s="16"/>
      <c r="F730" s="10"/>
      <c r="G730" s="10"/>
      <c r="H730" s="10"/>
      <c r="I730" s="11"/>
      <c r="J730" s="11"/>
      <c r="K730" s="11"/>
      <c r="L730" s="11"/>
      <c r="M730" s="10"/>
      <c r="N730" s="2"/>
      <c r="O730" s="11"/>
      <c r="P730" s="11"/>
      <c r="Q730" s="1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1"/>
      <c r="B731" s="10"/>
      <c r="C731" s="15"/>
      <c r="D731" s="12"/>
      <c r="E731" s="16"/>
      <c r="F731" s="10"/>
      <c r="G731" s="10"/>
      <c r="H731" s="10"/>
      <c r="I731" s="11"/>
      <c r="J731" s="11"/>
      <c r="K731" s="11"/>
      <c r="L731" s="11"/>
      <c r="M731" s="10"/>
      <c r="N731" s="2"/>
      <c r="O731" s="11"/>
      <c r="P731" s="11"/>
      <c r="Q731" s="1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1"/>
      <c r="B732" s="10"/>
      <c r="C732" s="15"/>
      <c r="D732" s="12"/>
      <c r="E732" s="16"/>
      <c r="F732" s="10"/>
      <c r="G732" s="10"/>
      <c r="H732" s="10"/>
      <c r="I732" s="11"/>
      <c r="J732" s="11"/>
      <c r="K732" s="11"/>
      <c r="L732" s="11"/>
      <c r="M732" s="10"/>
      <c r="N732" s="2"/>
      <c r="O732" s="11"/>
      <c r="P732" s="11"/>
      <c r="Q732" s="1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1"/>
      <c r="B733" s="10"/>
      <c r="C733" s="15"/>
      <c r="D733" s="12"/>
      <c r="E733" s="16"/>
      <c r="F733" s="10"/>
      <c r="G733" s="10"/>
      <c r="H733" s="10"/>
      <c r="I733" s="11"/>
      <c r="J733" s="11"/>
      <c r="K733" s="11"/>
      <c r="L733" s="11"/>
      <c r="M733" s="10"/>
      <c r="N733" s="2"/>
      <c r="O733" s="11"/>
      <c r="P733" s="11"/>
      <c r="Q733" s="1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1"/>
      <c r="B734" s="10"/>
      <c r="C734" s="15"/>
      <c r="D734" s="12"/>
      <c r="E734" s="16"/>
      <c r="F734" s="10"/>
      <c r="G734" s="10"/>
      <c r="H734" s="10"/>
      <c r="I734" s="11"/>
      <c r="J734" s="11"/>
      <c r="K734" s="11"/>
      <c r="L734" s="11"/>
      <c r="M734" s="10"/>
      <c r="N734" s="2"/>
      <c r="O734" s="11"/>
      <c r="P734" s="11"/>
      <c r="Q734" s="1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1"/>
      <c r="B735" s="10"/>
      <c r="C735" s="15"/>
      <c r="D735" s="12"/>
      <c r="E735" s="16"/>
      <c r="F735" s="10"/>
      <c r="G735" s="10"/>
      <c r="H735" s="10"/>
      <c r="I735" s="11"/>
      <c r="J735" s="11"/>
      <c r="K735" s="11"/>
      <c r="L735" s="11"/>
      <c r="M735" s="10"/>
      <c r="N735" s="2"/>
      <c r="O735" s="11"/>
      <c r="P735" s="11"/>
      <c r="Q735" s="1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1"/>
      <c r="B736" s="10"/>
      <c r="C736" s="15"/>
      <c r="D736" s="12"/>
      <c r="E736" s="16"/>
      <c r="F736" s="10"/>
      <c r="G736" s="10"/>
      <c r="H736" s="10"/>
      <c r="I736" s="11"/>
      <c r="J736" s="11"/>
      <c r="K736" s="11"/>
      <c r="L736" s="11"/>
      <c r="M736" s="10"/>
      <c r="N736" s="2"/>
      <c r="O736" s="11"/>
      <c r="P736" s="11"/>
      <c r="Q736" s="1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1"/>
      <c r="B737" s="10"/>
      <c r="C737" s="15"/>
      <c r="D737" s="12"/>
      <c r="E737" s="16"/>
      <c r="F737" s="10"/>
      <c r="G737" s="10"/>
      <c r="H737" s="10"/>
      <c r="I737" s="11"/>
      <c r="J737" s="11"/>
      <c r="K737" s="11"/>
      <c r="L737" s="11"/>
      <c r="M737" s="10"/>
      <c r="N737" s="2"/>
      <c r="O737" s="11"/>
      <c r="P737" s="11"/>
      <c r="Q737" s="1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1"/>
      <c r="B738" s="10"/>
      <c r="C738" s="15"/>
      <c r="D738" s="12"/>
      <c r="E738" s="16"/>
      <c r="F738" s="10"/>
      <c r="G738" s="10"/>
      <c r="H738" s="10"/>
      <c r="I738" s="11"/>
      <c r="J738" s="11"/>
      <c r="K738" s="11"/>
      <c r="L738" s="11"/>
      <c r="M738" s="10"/>
      <c r="N738" s="2"/>
      <c r="O738" s="11"/>
      <c r="P738" s="11"/>
      <c r="Q738" s="1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1"/>
      <c r="B739" s="10"/>
      <c r="C739" s="15"/>
      <c r="D739" s="12"/>
      <c r="E739" s="16"/>
      <c r="F739" s="10"/>
      <c r="G739" s="10"/>
      <c r="H739" s="10"/>
      <c r="I739" s="11"/>
      <c r="J739" s="11"/>
      <c r="K739" s="11"/>
      <c r="L739" s="11"/>
      <c r="M739" s="10"/>
      <c r="N739" s="2"/>
      <c r="O739" s="11"/>
      <c r="P739" s="11"/>
      <c r="Q739" s="1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1"/>
      <c r="B740" s="10"/>
      <c r="C740" s="15"/>
      <c r="D740" s="12"/>
      <c r="E740" s="16"/>
      <c r="F740" s="10"/>
      <c r="G740" s="10"/>
      <c r="H740" s="10"/>
      <c r="I740" s="11"/>
      <c r="J740" s="11"/>
      <c r="K740" s="11"/>
      <c r="L740" s="11"/>
      <c r="M740" s="10"/>
      <c r="N740" s="2"/>
      <c r="O740" s="11"/>
      <c r="P740" s="11"/>
      <c r="Q740" s="1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1"/>
      <c r="B741" s="10"/>
      <c r="C741" s="15"/>
      <c r="D741" s="12"/>
      <c r="E741" s="16"/>
      <c r="F741" s="10"/>
      <c r="G741" s="10"/>
      <c r="H741" s="10"/>
      <c r="I741" s="11"/>
      <c r="J741" s="11"/>
      <c r="K741" s="11"/>
      <c r="L741" s="11"/>
      <c r="M741" s="10"/>
      <c r="N741" s="2"/>
      <c r="O741" s="11"/>
      <c r="P741" s="11"/>
      <c r="Q741" s="1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1"/>
      <c r="B742" s="10"/>
      <c r="C742" s="15"/>
      <c r="D742" s="12"/>
      <c r="E742" s="16"/>
      <c r="F742" s="10"/>
      <c r="G742" s="10"/>
      <c r="H742" s="10"/>
      <c r="I742" s="11"/>
      <c r="J742" s="11"/>
      <c r="K742" s="11"/>
      <c r="L742" s="11"/>
      <c r="M742" s="10"/>
      <c r="N742" s="2"/>
      <c r="O742" s="11"/>
      <c r="P742" s="11"/>
      <c r="Q742" s="1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1"/>
      <c r="B743" s="10"/>
      <c r="C743" s="15"/>
      <c r="D743" s="12"/>
      <c r="E743" s="16"/>
      <c r="F743" s="10"/>
      <c r="G743" s="10"/>
      <c r="H743" s="10"/>
      <c r="I743" s="11"/>
      <c r="J743" s="11"/>
      <c r="K743" s="11"/>
      <c r="L743" s="11"/>
      <c r="M743" s="10"/>
      <c r="N743" s="2"/>
      <c r="O743" s="11"/>
      <c r="P743" s="11"/>
      <c r="Q743" s="1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1"/>
      <c r="B744" s="10"/>
      <c r="C744" s="15"/>
      <c r="D744" s="12"/>
      <c r="E744" s="16"/>
      <c r="F744" s="10"/>
      <c r="G744" s="10"/>
      <c r="H744" s="10"/>
      <c r="I744" s="11"/>
      <c r="J744" s="11"/>
      <c r="K744" s="11"/>
      <c r="L744" s="11"/>
      <c r="M744" s="10"/>
      <c r="N744" s="2"/>
      <c r="O744" s="11"/>
      <c r="P744" s="11"/>
      <c r="Q744" s="1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1"/>
      <c r="B745" s="10"/>
      <c r="C745" s="15"/>
      <c r="D745" s="12"/>
      <c r="E745" s="16"/>
      <c r="F745" s="10"/>
      <c r="G745" s="10"/>
      <c r="H745" s="10"/>
      <c r="I745" s="11"/>
      <c r="J745" s="11"/>
      <c r="K745" s="11"/>
      <c r="L745" s="11"/>
      <c r="M745" s="10"/>
      <c r="N745" s="2"/>
      <c r="O745" s="11"/>
      <c r="P745" s="11"/>
      <c r="Q745" s="1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1"/>
      <c r="B746" s="10"/>
      <c r="C746" s="15"/>
      <c r="D746" s="12"/>
      <c r="E746" s="16"/>
      <c r="F746" s="10"/>
      <c r="G746" s="10"/>
      <c r="H746" s="10"/>
      <c r="I746" s="11"/>
      <c r="J746" s="11"/>
      <c r="K746" s="11"/>
      <c r="L746" s="11"/>
      <c r="M746" s="10"/>
      <c r="N746" s="2"/>
      <c r="O746" s="11"/>
      <c r="P746" s="11"/>
      <c r="Q746" s="1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1"/>
      <c r="B747" s="10"/>
      <c r="C747" s="15"/>
      <c r="D747" s="12"/>
      <c r="E747" s="16"/>
      <c r="F747" s="10"/>
      <c r="G747" s="10"/>
      <c r="H747" s="10"/>
      <c r="I747" s="11"/>
      <c r="J747" s="11"/>
      <c r="K747" s="11"/>
      <c r="L747" s="11"/>
      <c r="M747" s="10"/>
      <c r="N747" s="2"/>
      <c r="O747" s="11"/>
      <c r="P747" s="11"/>
      <c r="Q747" s="1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1"/>
      <c r="B748" s="10"/>
      <c r="C748" s="15"/>
      <c r="D748" s="12"/>
      <c r="E748" s="16"/>
      <c r="F748" s="10"/>
      <c r="G748" s="10"/>
      <c r="H748" s="10"/>
      <c r="I748" s="11"/>
      <c r="J748" s="11"/>
      <c r="K748" s="11"/>
      <c r="L748" s="11"/>
      <c r="M748" s="10"/>
      <c r="N748" s="2"/>
      <c r="O748" s="11"/>
      <c r="P748" s="11"/>
      <c r="Q748" s="1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1"/>
      <c r="B749" s="10"/>
      <c r="C749" s="15"/>
      <c r="D749" s="12"/>
      <c r="E749" s="16"/>
      <c r="F749" s="10"/>
      <c r="G749" s="10"/>
      <c r="H749" s="10"/>
      <c r="I749" s="11"/>
      <c r="J749" s="11"/>
      <c r="K749" s="11"/>
      <c r="L749" s="11"/>
      <c r="M749" s="10"/>
      <c r="N749" s="2"/>
      <c r="O749" s="11"/>
      <c r="P749" s="11"/>
      <c r="Q749" s="1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1"/>
      <c r="B750" s="10"/>
      <c r="C750" s="15"/>
      <c r="D750" s="12"/>
      <c r="E750" s="16"/>
      <c r="F750" s="10"/>
      <c r="G750" s="10"/>
      <c r="H750" s="10"/>
      <c r="I750" s="11"/>
      <c r="J750" s="11"/>
      <c r="K750" s="11"/>
      <c r="L750" s="11"/>
      <c r="M750" s="10"/>
      <c r="N750" s="2"/>
      <c r="O750" s="11"/>
      <c r="P750" s="11"/>
      <c r="Q750" s="1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1"/>
      <c r="B751" s="10"/>
      <c r="C751" s="15"/>
      <c r="D751" s="12"/>
      <c r="E751" s="16"/>
      <c r="F751" s="10"/>
      <c r="G751" s="10"/>
      <c r="H751" s="10"/>
      <c r="I751" s="11"/>
      <c r="J751" s="11"/>
      <c r="K751" s="11"/>
      <c r="L751" s="11"/>
      <c r="M751" s="10"/>
      <c r="N751" s="2"/>
      <c r="O751" s="11"/>
      <c r="P751" s="11"/>
      <c r="Q751" s="1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1"/>
      <c r="B752" s="10"/>
      <c r="C752" s="15"/>
      <c r="D752" s="12"/>
      <c r="E752" s="16"/>
      <c r="F752" s="10"/>
      <c r="G752" s="10"/>
      <c r="H752" s="10"/>
      <c r="I752" s="11"/>
      <c r="J752" s="11"/>
      <c r="K752" s="11"/>
      <c r="L752" s="11"/>
      <c r="M752" s="10"/>
      <c r="N752" s="2"/>
      <c r="O752" s="11"/>
      <c r="P752" s="11"/>
      <c r="Q752" s="1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1"/>
      <c r="B753" s="10"/>
      <c r="C753" s="15"/>
      <c r="D753" s="12"/>
      <c r="E753" s="16"/>
      <c r="F753" s="10"/>
      <c r="G753" s="10"/>
      <c r="H753" s="10"/>
      <c r="I753" s="11"/>
      <c r="J753" s="11"/>
      <c r="K753" s="11"/>
      <c r="L753" s="11"/>
      <c r="M753" s="10"/>
      <c r="N753" s="2"/>
      <c r="O753" s="11"/>
      <c r="P753" s="11"/>
      <c r="Q753" s="1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1"/>
      <c r="B754" s="10"/>
      <c r="C754" s="15"/>
      <c r="D754" s="12"/>
      <c r="E754" s="16"/>
      <c r="F754" s="10"/>
      <c r="G754" s="10"/>
      <c r="H754" s="10"/>
      <c r="I754" s="11"/>
      <c r="J754" s="11"/>
      <c r="K754" s="11"/>
      <c r="L754" s="11"/>
      <c r="M754" s="10"/>
      <c r="N754" s="2"/>
      <c r="O754" s="11"/>
      <c r="P754" s="11"/>
      <c r="Q754" s="1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1"/>
      <c r="B755" s="10"/>
      <c r="C755" s="15"/>
      <c r="D755" s="12"/>
      <c r="E755" s="16"/>
      <c r="F755" s="10"/>
      <c r="G755" s="10"/>
      <c r="H755" s="10"/>
      <c r="I755" s="11"/>
      <c r="J755" s="11"/>
      <c r="K755" s="11"/>
      <c r="L755" s="11"/>
      <c r="M755" s="10"/>
      <c r="N755" s="2"/>
      <c r="O755" s="11"/>
      <c r="P755" s="11"/>
      <c r="Q755" s="1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1"/>
      <c r="B756" s="10"/>
      <c r="C756" s="15"/>
      <c r="D756" s="12"/>
      <c r="E756" s="16"/>
      <c r="F756" s="10"/>
      <c r="G756" s="10"/>
      <c r="H756" s="10"/>
      <c r="I756" s="11"/>
      <c r="J756" s="11"/>
      <c r="K756" s="11"/>
      <c r="L756" s="11"/>
      <c r="M756" s="10"/>
      <c r="N756" s="2"/>
      <c r="O756" s="11"/>
      <c r="P756" s="11"/>
      <c r="Q756" s="1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1"/>
      <c r="B757" s="10"/>
      <c r="C757" s="15"/>
      <c r="D757" s="12"/>
      <c r="E757" s="16"/>
      <c r="F757" s="10"/>
      <c r="G757" s="10"/>
      <c r="H757" s="10"/>
      <c r="I757" s="11"/>
      <c r="J757" s="11"/>
      <c r="K757" s="11"/>
      <c r="L757" s="11"/>
      <c r="M757" s="10"/>
      <c r="N757" s="2"/>
      <c r="O757" s="11"/>
      <c r="P757" s="11"/>
      <c r="Q757" s="1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1"/>
      <c r="B758" s="10"/>
      <c r="C758" s="15"/>
      <c r="D758" s="12"/>
      <c r="E758" s="16"/>
      <c r="F758" s="10"/>
      <c r="G758" s="10"/>
      <c r="H758" s="10"/>
      <c r="I758" s="11"/>
      <c r="J758" s="11"/>
      <c r="K758" s="11"/>
      <c r="L758" s="11"/>
      <c r="M758" s="10"/>
      <c r="N758" s="2"/>
      <c r="O758" s="11"/>
      <c r="P758" s="11"/>
      <c r="Q758" s="1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1"/>
      <c r="B759" s="10"/>
      <c r="C759" s="15"/>
      <c r="D759" s="12"/>
      <c r="E759" s="16"/>
      <c r="F759" s="10"/>
      <c r="G759" s="10"/>
      <c r="H759" s="10"/>
      <c r="I759" s="11"/>
      <c r="J759" s="11"/>
      <c r="K759" s="11"/>
      <c r="L759" s="11"/>
      <c r="M759" s="10"/>
      <c r="N759" s="2"/>
      <c r="O759" s="11"/>
      <c r="P759" s="11"/>
      <c r="Q759" s="1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1"/>
      <c r="B760" s="10"/>
      <c r="C760" s="15"/>
      <c r="D760" s="12"/>
      <c r="E760" s="16"/>
      <c r="F760" s="10"/>
      <c r="G760" s="10"/>
      <c r="H760" s="10"/>
      <c r="I760" s="11"/>
      <c r="J760" s="11"/>
      <c r="K760" s="11"/>
      <c r="L760" s="11"/>
      <c r="M760" s="10"/>
      <c r="N760" s="2"/>
      <c r="O760" s="11"/>
      <c r="P760" s="11"/>
      <c r="Q760" s="1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1"/>
      <c r="B761" s="10"/>
      <c r="C761" s="15"/>
      <c r="D761" s="12"/>
      <c r="E761" s="16"/>
      <c r="F761" s="10"/>
      <c r="G761" s="10"/>
      <c r="H761" s="10"/>
      <c r="I761" s="11"/>
      <c r="J761" s="11"/>
      <c r="K761" s="11"/>
      <c r="L761" s="11"/>
      <c r="M761" s="10"/>
      <c r="N761" s="2"/>
      <c r="O761" s="11"/>
      <c r="P761" s="11"/>
      <c r="Q761" s="1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1"/>
      <c r="B762" s="10"/>
      <c r="C762" s="15"/>
      <c r="D762" s="12"/>
      <c r="E762" s="16"/>
      <c r="F762" s="10"/>
      <c r="G762" s="10"/>
      <c r="H762" s="10"/>
      <c r="I762" s="11"/>
      <c r="J762" s="11"/>
      <c r="K762" s="11"/>
      <c r="L762" s="11"/>
      <c r="M762" s="10"/>
      <c r="N762" s="2"/>
      <c r="O762" s="11"/>
      <c r="P762" s="11"/>
      <c r="Q762" s="1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1"/>
      <c r="B763" s="10"/>
      <c r="C763" s="15"/>
      <c r="D763" s="12"/>
      <c r="E763" s="16"/>
      <c r="F763" s="10"/>
      <c r="G763" s="10"/>
      <c r="H763" s="10"/>
      <c r="I763" s="11"/>
      <c r="J763" s="11"/>
      <c r="K763" s="11"/>
      <c r="L763" s="11"/>
      <c r="M763" s="10"/>
      <c r="N763" s="2"/>
      <c r="O763" s="11"/>
      <c r="P763" s="11"/>
      <c r="Q763" s="1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1"/>
      <c r="B764" s="10"/>
      <c r="C764" s="15"/>
      <c r="D764" s="12"/>
      <c r="E764" s="16"/>
      <c r="F764" s="10"/>
      <c r="G764" s="10"/>
      <c r="H764" s="10"/>
      <c r="I764" s="11"/>
      <c r="J764" s="11"/>
      <c r="K764" s="11"/>
      <c r="L764" s="11"/>
      <c r="M764" s="10"/>
      <c r="N764" s="2"/>
      <c r="O764" s="11"/>
      <c r="P764" s="11"/>
      <c r="Q764" s="1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1"/>
      <c r="B765" s="10"/>
      <c r="C765" s="15"/>
      <c r="D765" s="12"/>
      <c r="E765" s="16"/>
      <c r="F765" s="10"/>
      <c r="G765" s="10"/>
      <c r="H765" s="10"/>
      <c r="I765" s="11"/>
      <c r="J765" s="11"/>
      <c r="K765" s="11"/>
      <c r="L765" s="11"/>
      <c r="M765" s="10"/>
      <c r="N765" s="2"/>
      <c r="O765" s="11"/>
      <c r="P765" s="11"/>
      <c r="Q765" s="1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1"/>
      <c r="B766" s="10"/>
      <c r="C766" s="15"/>
      <c r="D766" s="12"/>
      <c r="E766" s="16"/>
      <c r="F766" s="10"/>
      <c r="G766" s="10"/>
      <c r="H766" s="10"/>
      <c r="I766" s="11"/>
      <c r="J766" s="11"/>
      <c r="K766" s="11"/>
      <c r="L766" s="11"/>
      <c r="M766" s="10"/>
      <c r="N766" s="2"/>
      <c r="O766" s="11"/>
      <c r="P766" s="11"/>
      <c r="Q766" s="1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1"/>
      <c r="B767" s="10"/>
      <c r="C767" s="15"/>
      <c r="D767" s="12"/>
      <c r="E767" s="16"/>
      <c r="F767" s="10"/>
      <c r="G767" s="10"/>
      <c r="H767" s="10"/>
      <c r="I767" s="11"/>
      <c r="J767" s="11"/>
      <c r="K767" s="11"/>
      <c r="L767" s="11"/>
      <c r="M767" s="10"/>
      <c r="N767" s="2"/>
      <c r="O767" s="11"/>
      <c r="P767" s="11"/>
      <c r="Q767" s="1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1"/>
      <c r="B768" s="10"/>
      <c r="C768" s="15"/>
      <c r="D768" s="12"/>
      <c r="E768" s="16"/>
      <c r="F768" s="10"/>
      <c r="G768" s="10"/>
      <c r="H768" s="10"/>
      <c r="I768" s="11"/>
      <c r="J768" s="11"/>
      <c r="K768" s="11"/>
      <c r="L768" s="11"/>
      <c r="M768" s="10"/>
      <c r="N768" s="2"/>
      <c r="O768" s="11"/>
      <c r="P768" s="11"/>
      <c r="Q768" s="1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1"/>
      <c r="B769" s="10"/>
      <c r="C769" s="15"/>
      <c r="D769" s="12"/>
      <c r="E769" s="16"/>
      <c r="F769" s="10"/>
      <c r="G769" s="10"/>
      <c r="H769" s="10"/>
      <c r="I769" s="11"/>
      <c r="J769" s="11"/>
      <c r="K769" s="11"/>
      <c r="L769" s="11"/>
      <c r="M769" s="10"/>
      <c r="N769" s="2"/>
      <c r="O769" s="11"/>
      <c r="P769" s="11"/>
      <c r="Q769" s="1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1"/>
      <c r="B770" s="10"/>
      <c r="C770" s="15"/>
      <c r="D770" s="12"/>
      <c r="E770" s="16"/>
      <c r="F770" s="10"/>
      <c r="G770" s="10"/>
      <c r="H770" s="10"/>
      <c r="I770" s="11"/>
      <c r="J770" s="11"/>
      <c r="K770" s="11"/>
      <c r="L770" s="11"/>
      <c r="M770" s="10"/>
      <c r="N770" s="2"/>
      <c r="O770" s="11"/>
      <c r="P770" s="11"/>
      <c r="Q770" s="1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1"/>
      <c r="B771" s="10"/>
      <c r="C771" s="15"/>
      <c r="D771" s="12"/>
      <c r="E771" s="16"/>
      <c r="F771" s="10"/>
      <c r="G771" s="10"/>
      <c r="H771" s="10"/>
      <c r="I771" s="11"/>
      <c r="J771" s="11"/>
      <c r="K771" s="11"/>
      <c r="L771" s="11"/>
      <c r="M771" s="10"/>
      <c r="N771" s="2"/>
      <c r="O771" s="11"/>
      <c r="P771" s="11"/>
      <c r="Q771" s="1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1"/>
      <c r="B772" s="10"/>
      <c r="C772" s="15"/>
      <c r="D772" s="12"/>
      <c r="E772" s="16"/>
      <c r="F772" s="10"/>
      <c r="G772" s="10"/>
      <c r="H772" s="10"/>
      <c r="I772" s="11"/>
      <c r="J772" s="11"/>
      <c r="K772" s="11"/>
      <c r="L772" s="11"/>
      <c r="M772" s="10"/>
      <c r="N772" s="2"/>
      <c r="O772" s="11"/>
      <c r="P772" s="11"/>
      <c r="Q772" s="1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1"/>
      <c r="B773" s="10"/>
      <c r="C773" s="15"/>
      <c r="D773" s="12"/>
      <c r="E773" s="16"/>
      <c r="F773" s="10"/>
      <c r="G773" s="10"/>
      <c r="H773" s="10"/>
      <c r="I773" s="11"/>
      <c r="J773" s="11"/>
      <c r="K773" s="11"/>
      <c r="L773" s="11"/>
      <c r="M773" s="10"/>
      <c r="N773" s="2"/>
      <c r="O773" s="11"/>
      <c r="P773" s="11"/>
      <c r="Q773" s="1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1"/>
      <c r="B774" s="10"/>
      <c r="C774" s="15"/>
      <c r="D774" s="12"/>
      <c r="E774" s="16"/>
      <c r="F774" s="10"/>
      <c r="G774" s="10"/>
      <c r="H774" s="10"/>
      <c r="I774" s="11"/>
      <c r="J774" s="11"/>
      <c r="K774" s="11"/>
      <c r="L774" s="11"/>
      <c r="M774" s="10"/>
      <c r="N774" s="2"/>
      <c r="O774" s="11"/>
      <c r="P774" s="11"/>
      <c r="Q774" s="1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1"/>
      <c r="B775" s="10"/>
      <c r="C775" s="15"/>
      <c r="D775" s="12"/>
      <c r="E775" s="16"/>
      <c r="F775" s="10"/>
      <c r="G775" s="10"/>
      <c r="H775" s="10"/>
      <c r="I775" s="11"/>
      <c r="J775" s="11"/>
      <c r="K775" s="11"/>
      <c r="L775" s="11"/>
      <c r="M775" s="10"/>
      <c r="N775" s="2"/>
      <c r="O775" s="11"/>
      <c r="P775" s="11"/>
      <c r="Q775" s="1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1"/>
      <c r="B776" s="10"/>
      <c r="C776" s="15"/>
      <c r="D776" s="12"/>
      <c r="E776" s="16"/>
      <c r="F776" s="10"/>
      <c r="G776" s="10"/>
      <c r="H776" s="10"/>
      <c r="I776" s="11"/>
      <c r="J776" s="11"/>
      <c r="K776" s="11"/>
      <c r="L776" s="11"/>
      <c r="M776" s="10"/>
      <c r="N776" s="2"/>
      <c r="O776" s="11"/>
      <c r="P776" s="11"/>
      <c r="Q776" s="1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1"/>
      <c r="B777" s="10"/>
      <c r="C777" s="15"/>
      <c r="D777" s="12"/>
      <c r="E777" s="16"/>
      <c r="F777" s="10"/>
      <c r="G777" s="10"/>
      <c r="H777" s="10"/>
      <c r="I777" s="11"/>
      <c r="J777" s="11"/>
      <c r="K777" s="11"/>
      <c r="L777" s="11"/>
      <c r="M777" s="10"/>
      <c r="N777" s="2"/>
      <c r="O777" s="11"/>
      <c r="P777" s="11"/>
      <c r="Q777" s="1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1"/>
      <c r="B778" s="10"/>
      <c r="C778" s="15"/>
      <c r="D778" s="12"/>
      <c r="E778" s="16"/>
      <c r="F778" s="10"/>
      <c r="G778" s="10"/>
      <c r="H778" s="10"/>
      <c r="I778" s="11"/>
      <c r="J778" s="11"/>
      <c r="K778" s="11"/>
      <c r="L778" s="11"/>
      <c r="M778" s="10"/>
      <c r="N778" s="2"/>
      <c r="O778" s="11"/>
      <c r="P778" s="11"/>
      <c r="Q778" s="1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1"/>
      <c r="B779" s="10"/>
      <c r="C779" s="15"/>
      <c r="D779" s="12"/>
      <c r="E779" s="16"/>
      <c r="F779" s="10"/>
      <c r="G779" s="10"/>
      <c r="H779" s="10"/>
      <c r="I779" s="11"/>
      <c r="J779" s="11"/>
      <c r="K779" s="11"/>
      <c r="L779" s="11"/>
      <c r="M779" s="10"/>
      <c r="N779" s="2"/>
      <c r="O779" s="11"/>
      <c r="P779" s="11"/>
      <c r="Q779" s="1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1"/>
      <c r="B780" s="10"/>
      <c r="C780" s="15"/>
      <c r="D780" s="12"/>
      <c r="E780" s="16"/>
      <c r="F780" s="10"/>
      <c r="G780" s="10"/>
      <c r="H780" s="10"/>
      <c r="I780" s="11"/>
      <c r="J780" s="11"/>
      <c r="K780" s="11"/>
      <c r="L780" s="11"/>
      <c r="M780" s="10"/>
      <c r="N780" s="2"/>
      <c r="O780" s="11"/>
      <c r="P780" s="11"/>
      <c r="Q780" s="1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1"/>
      <c r="B781" s="10"/>
      <c r="C781" s="15"/>
      <c r="D781" s="12"/>
      <c r="E781" s="16"/>
      <c r="F781" s="10"/>
      <c r="G781" s="10"/>
      <c r="H781" s="10"/>
      <c r="I781" s="11"/>
      <c r="J781" s="11"/>
      <c r="K781" s="11"/>
      <c r="L781" s="11"/>
      <c r="M781" s="10"/>
      <c r="N781" s="2"/>
      <c r="O781" s="11"/>
      <c r="P781" s="11"/>
      <c r="Q781" s="1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1"/>
      <c r="B782" s="10"/>
      <c r="C782" s="15"/>
      <c r="D782" s="12"/>
      <c r="E782" s="16"/>
      <c r="F782" s="10"/>
      <c r="G782" s="10"/>
      <c r="H782" s="10"/>
      <c r="I782" s="11"/>
      <c r="J782" s="11"/>
      <c r="K782" s="11"/>
      <c r="L782" s="11"/>
      <c r="M782" s="10"/>
      <c r="N782" s="2"/>
      <c r="O782" s="11"/>
      <c r="P782" s="11"/>
      <c r="Q782" s="1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1"/>
      <c r="B783" s="10"/>
      <c r="C783" s="15"/>
      <c r="D783" s="12"/>
      <c r="E783" s="16"/>
      <c r="F783" s="10"/>
      <c r="G783" s="10"/>
      <c r="H783" s="10"/>
      <c r="I783" s="11"/>
      <c r="J783" s="11"/>
      <c r="K783" s="11"/>
      <c r="L783" s="11"/>
      <c r="M783" s="10"/>
      <c r="N783" s="2"/>
      <c r="O783" s="11"/>
      <c r="P783" s="11"/>
      <c r="Q783" s="1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1"/>
      <c r="B784" s="10"/>
      <c r="C784" s="15"/>
      <c r="D784" s="12"/>
      <c r="E784" s="16"/>
      <c r="F784" s="10"/>
      <c r="G784" s="10"/>
      <c r="H784" s="10"/>
      <c r="I784" s="11"/>
      <c r="J784" s="11"/>
      <c r="K784" s="11"/>
      <c r="L784" s="11"/>
      <c r="M784" s="10"/>
      <c r="N784" s="2"/>
      <c r="O784" s="11"/>
      <c r="P784" s="11"/>
      <c r="Q784" s="1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1"/>
      <c r="B785" s="10"/>
      <c r="C785" s="15"/>
      <c r="D785" s="12"/>
      <c r="E785" s="16"/>
      <c r="F785" s="10"/>
      <c r="G785" s="10"/>
      <c r="H785" s="10"/>
      <c r="I785" s="11"/>
      <c r="J785" s="11"/>
      <c r="K785" s="11"/>
      <c r="L785" s="11"/>
      <c r="M785" s="10"/>
      <c r="N785" s="2"/>
      <c r="O785" s="11"/>
      <c r="P785" s="11"/>
      <c r="Q785" s="1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1"/>
      <c r="B786" s="10"/>
      <c r="C786" s="15"/>
      <c r="D786" s="12"/>
      <c r="E786" s="16"/>
      <c r="F786" s="10"/>
      <c r="G786" s="10"/>
      <c r="H786" s="10"/>
      <c r="I786" s="11"/>
      <c r="J786" s="11"/>
      <c r="K786" s="11"/>
      <c r="L786" s="11"/>
      <c r="M786" s="10"/>
      <c r="N786" s="2"/>
      <c r="O786" s="11"/>
      <c r="P786" s="11"/>
      <c r="Q786" s="1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1"/>
      <c r="B787" s="10"/>
      <c r="C787" s="15"/>
      <c r="D787" s="12"/>
      <c r="E787" s="16"/>
      <c r="F787" s="10"/>
      <c r="G787" s="10"/>
      <c r="H787" s="10"/>
      <c r="I787" s="11"/>
      <c r="J787" s="11"/>
      <c r="K787" s="11"/>
      <c r="L787" s="11"/>
      <c r="M787" s="10"/>
      <c r="N787" s="2"/>
      <c r="O787" s="11"/>
      <c r="P787" s="11"/>
      <c r="Q787" s="1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1"/>
      <c r="B788" s="10"/>
      <c r="C788" s="15"/>
      <c r="D788" s="12"/>
      <c r="E788" s="16"/>
      <c r="F788" s="10"/>
      <c r="G788" s="10"/>
      <c r="H788" s="10"/>
      <c r="I788" s="11"/>
      <c r="J788" s="11"/>
      <c r="K788" s="11"/>
      <c r="L788" s="11"/>
      <c r="M788" s="10"/>
      <c r="N788" s="2"/>
      <c r="O788" s="11"/>
      <c r="P788" s="11"/>
      <c r="Q788" s="1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1"/>
      <c r="B789" s="10"/>
      <c r="C789" s="15"/>
      <c r="D789" s="12"/>
      <c r="E789" s="16"/>
      <c r="F789" s="10"/>
      <c r="G789" s="10"/>
      <c r="H789" s="10"/>
      <c r="I789" s="11"/>
      <c r="J789" s="11"/>
      <c r="K789" s="11"/>
      <c r="L789" s="11"/>
      <c r="M789" s="10"/>
      <c r="N789" s="2"/>
      <c r="O789" s="11"/>
      <c r="P789" s="11"/>
      <c r="Q789" s="1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1"/>
      <c r="B790" s="10"/>
      <c r="C790" s="15"/>
      <c r="D790" s="12"/>
      <c r="E790" s="16"/>
      <c r="F790" s="10"/>
      <c r="G790" s="10"/>
      <c r="H790" s="10"/>
      <c r="I790" s="11"/>
      <c r="J790" s="11"/>
      <c r="K790" s="11"/>
      <c r="L790" s="11"/>
      <c r="M790" s="10"/>
      <c r="N790" s="2"/>
      <c r="O790" s="11"/>
      <c r="P790" s="11"/>
      <c r="Q790" s="1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1"/>
      <c r="B791" s="10"/>
      <c r="C791" s="15"/>
      <c r="D791" s="12"/>
      <c r="E791" s="16"/>
      <c r="F791" s="10"/>
      <c r="G791" s="10"/>
      <c r="H791" s="10"/>
      <c r="I791" s="11"/>
      <c r="J791" s="11"/>
      <c r="K791" s="11"/>
      <c r="L791" s="11"/>
      <c r="M791" s="10"/>
      <c r="N791" s="2"/>
      <c r="O791" s="11"/>
      <c r="P791" s="11"/>
      <c r="Q791" s="1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1"/>
      <c r="B792" s="10"/>
      <c r="C792" s="15"/>
      <c r="D792" s="12"/>
      <c r="E792" s="16"/>
      <c r="F792" s="10"/>
      <c r="G792" s="10"/>
      <c r="H792" s="10"/>
      <c r="I792" s="11"/>
      <c r="J792" s="11"/>
      <c r="K792" s="11"/>
      <c r="L792" s="11"/>
      <c r="M792" s="10"/>
      <c r="N792" s="2"/>
      <c r="O792" s="11"/>
      <c r="P792" s="11"/>
      <c r="Q792" s="1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1"/>
      <c r="B793" s="10"/>
      <c r="C793" s="15"/>
      <c r="D793" s="12"/>
      <c r="E793" s="16"/>
      <c r="F793" s="10"/>
      <c r="G793" s="10"/>
      <c r="H793" s="10"/>
      <c r="I793" s="11"/>
      <c r="J793" s="11"/>
      <c r="K793" s="11"/>
      <c r="L793" s="11"/>
      <c r="M793" s="10"/>
      <c r="N793" s="2"/>
      <c r="O793" s="11"/>
      <c r="P793" s="11"/>
      <c r="Q793" s="1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1"/>
      <c r="B794" s="10"/>
      <c r="C794" s="15"/>
      <c r="D794" s="12"/>
      <c r="E794" s="16"/>
      <c r="F794" s="10"/>
      <c r="G794" s="10"/>
      <c r="H794" s="10"/>
      <c r="I794" s="11"/>
      <c r="J794" s="11"/>
      <c r="K794" s="11"/>
      <c r="L794" s="11"/>
      <c r="M794" s="10"/>
      <c r="N794" s="2"/>
      <c r="O794" s="11"/>
      <c r="P794" s="11"/>
      <c r="Q794" s="1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1"/>
      <c r="B795" s="10"/>
      <c r="C795" s="15"/>
      <c r="D795" s="12"/>
      <c r="E795" s="16"/>
      <c r="F795" s="10"/>
      <c r="G795" s="10"/>
      <c r="H795" s="10"/>
      <c r="I795" s="11"/>
      <c r="J795" s="11"/>
      <c r="K795" s="11"/>
      <c r="L795" s="11"/>
      <c r="M795" s="10"/>
      <c r="N795" s="2"/>
      <c r="O795" s="11"/>
      <c r="P795" s="11"/>
      <c r="Q795" s="1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1"/>
      <c r="B796" s="10"/>
      <c r="C796" s="15"/>
      <c r="D796" s="12"/>
      <c r="E796" s="16"/>
      <c r="F796" s="10"/>
      <c r="G796" s="10"/>
      <c r="H796" s="10"/>
      <c r="I796" s="11"/>
      <c r="J796" s="11"/>
      <c r="K796" s="11"/>
      <c r="L796" s="11"/>
      <c r="M796" s="10"/>
      <c r="N796" s="2"/>
      <c r="O796" s="11"/>
      <c r="P796" s="11"/>
      <c r="Q796" s="1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1"/>
      <c r="B797" s="10"/>
      <c r="C797" s="15"/>
      <c r="D797" s="12"/>
      <c r="E797" s="16"/>
      <c r="F797" s="10"/>
      <c r="G797" s="10"/>
      <c r="H797" s="10"/>
      <c r="I797" s="11"/>
      <c r="J797" s="11"/>
      <c r="K797" s="11"/>
      <c r="L797" s="11"/>
      <c r="M797" s="10"/>
      <c r="N797" s="2"/>
      <c r="O797" s="11"/>
      <c r="P797" s="11"/>
      <c r="Q797" s="1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1"/>
      <c r="B798" s="10"/>
      <c r="C798" s="15"/>
      <c r="D798" s="12"/>
      <c r="E798" s="16"/>
      <c r="F798" s="10"/>
      <c r="G798" s="10"/>
      <c r="H798" s="10"/>
      <c r="I798" s="11"/>
      <c r="J798" s="11"/>
      <c r="K798" s="11"/>
      <c r="L798" s="11"/>
      <c r="M798" s="10"/>
      <c r="N798" s="2"/>
      <c r="O798" s="11"/>
      <c r="P798" s="11"/>
      <c r="Q798" s="1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1"/>
      <c r="B799" s="10"/>
      <c r="C799" s="15"/>
      <c r="D799" s="12"/>
      <c r="E799" s="16"/>
      <c r="F799" s="10"/>
      <c r="G799" s="10"/>
      <c r="H799" s="10"/>
      <c r="I799" s="11"/>
      <c r="J799" s="11"/>
      <c r="K799" s="11"/>
      <c r="L799" s="11"/>
      <c r="M799" s="10"/>
      <c r="N799" s="2"/>
      <c r="O799" s="11"/>
      <c r="P799" s="11"/>
      <c r="Q799" s="1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1"/>
      <c r="B800" s="10"/>
      <c r="C800" s="15"/>
      <c r="D800" s="12"/>
      <c r="E800" s="16"/>
      <c r="F800" s="10"/>
      <c r="G800" s="10"/>
      <c r="H800" s="10"/>
      <c r="I800" s="11"/>
      <c r="J800" s="11"/>
      <c r="K800" s="11"/>
      <c r="L800" s="11"/>
      <c r="M800" s="10"/>
      <c r="N800" s="2"/>
      <c r="O800" s="11"/>
      <c r="P800" s="11"/>
      <c r="Q800" s="1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1"/>
      <c r="B801" s="10"/>
      <c r="C801" s="15"/>
      <c r="D801" s="12"/>
      <c r="E801" s="16"/>
      <c r="F801" s="10"/>
      <c r="G801" s="10"/>
      <c r="H801" s="10"/>
      <c r="I801" s="11"/>
      <c r="J801" s="11"/>
      <c r="K801" s="11"/>
      <c r="L801" s="11"/>
      <c r="M801" s="10"/>
      <c r="N801" s="2"/>
      <c r="O801" s="11"/>
      <c r="P801" s="11"/>
      <c r="Q801" s="1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1"/>
      <c r="B802" s="10"/>
      <c r="C802" s="15"/>
      <c r="D802" s="12"/>
      <c r="E802" s="16"/>
      <c r="F802" s="10"/>
      <c r="G802" s="10"/>
      <c r="H802" s="10"/>
      <c r="I802" s="11"/>
      <c r="J802" s="11"/>
      <c r="K802" s="11"/>
      <c r="L802" s="11"/>
      <c r="M802" s="10"/>
      <c r="N802" s="2"/>
      <c r="O802" s="11"/>
      <c r="P802" s="11"/>
      <c r="Q802" s="1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1"/>
      <c r="B803" s="10"/>
      <c r="C803" s="15"/>
      <c r="D803" s="12"/>
      <c r="E803" s="16"/>
      <c r="F803" s="10"/>
      <c r="G803" s="10"/>
      <c r="H803" s="10"/>
      <c r="I803" s="11"/>
      <c r="J803" s="11"/>
      <c r="K803" s="11"/>
      <c r="L803" s="11"/>
      <c r="M803" s="10"/>
      <c r="N803" s="2"/>
      <c r="O803" s="11"/>
      <c r="P803" s="11"/>
      <c r="Q803" s="1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1"/>
      <c r="B804" s="10"/>
      <c r="C804" s="15"/>
      <c r="D804" s="12"/>
      <c r="E804" s="16"/>
      <c r="F804" s="10"/>
      <c r="G804" s="10"/>
      <c r="H804" s="10"/>
      <c r="I804" s="11"/>
      <c r="J804" s="11"/>
      <c r="K804" s="11"/>
      <c r="L804" s="11"/>
      <c r="M804" s="10"/>
      <c r="N804" s="2"/>
      <c r="O804" s="11"/>
      <c r="P804" s="11"/>
      <c r="Q804" s="1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1"/>
      <c r="B805" s="10"/>
      <c r="C805" s="15"/>
      <c r="D805" s="12"/>
      <c r="E805" s="16"/>
      <c r="F805" s="10"/>
      <c r="G805" s="10"/>
      <c r="H805" s="10"/>
      <c r="I805" s="11"/>
      <c r="J805" s="11"/>
      <c r="K805" s="11"/>
      <c r="L805" s="11"/>
      <c r="M805" s="10"/>
      <c r="N805" s="2"/>
      <c r="O805" s="11"/>
      <c r="P805" s="11"/>
      <c r="Q805" s="1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1"/>
      <c r="B806" s="10"/>
      <c r="C806" s="15"/>
      <c r="D806" s="12"/>
      <c r="E806" s="16"/>
      <c r="F806" s="10"/>
      <c r="G806" s="10"/>
      <c r="H806" s="10"/>
      <c r="I806" s="11"/>
      <c r="J806" s="11"/>
      <c r="K806" s="11"/>
      <c r="L806" s="11"/>
      <c r="M806" s="10"/>
      <c r="N806" s="2"/>
      <c r="O806" s="11"/>
      <c r="P806" s="11"/>
      <c r="Q806" s="1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1"/>
      <c r="B807" s="10"/>
      <c r="C807" s="15"/>
      <c r="D807" s="12"/>
      <c r="E807" s="16"/>
      <c r="F807" s="10"/>
      <c r="G807" s="10"/>
      <c r="H807" s="10"/>
      <c r="I807" s="11"/>
      <c r="J807" s="11"/>
      <c r="K807" s="11"/>
      <c r="L807" s="11"/>
      <c r="M807" s="10"/>
      <c r="N807" s="2"/>
      <c r="O807" s="11"/>
      <c r="P807" s="11"/>
      <c r="Q807" s="1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1"/>
      <c r="B808" s="10"/>
      <c r="C808" s="15"/>
      <c r="D808" s="12"/>
      <c r="E808" s="16"/>
      <c r="F808" s="10"/>
      <c r="G808" s="10"/>
      <c r="H808" s="10"/>
      <c r="I808" s="11"/>
      <c r="J808" s="11"/>
      <c r="K808" s="11"/>
      <c r="L808" s="11"/>
      <c r="M808" s="10"/>
      <c r="N808" s="2"/>
      <c r="O808" s="11"/>
      <c r="P808" s="11"/>
      <c r="Q808" s="1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1"/>
      <c r="B809" s="10"/>
      <c r="C809" s="15"/>
      <c r="D809" s="12"/>
      <c r="E809" s="16"/>
      <c r="F809" s="10"/>
      <c r="G809" s="10"/>
      <c r="H809" s="10"/>
      <c r="I809" s="11"/>
      <c r="J809" s="11"/>
      <c r="K809" s="11"/>
      <c r="L809" s="11"/>
      <c r="M809" s="10"/>
      <c r="N809" s="2"/>
      <c r="O809" s="11"/>
      <c r="P809" s="11"/>
      <c r="Q809" s="1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1"/>
      <c r="B810" s="10"/>
      <c r="C810" s="15"/>
      <c r="D810" s="12"/>
      <c r="E810" s="16"/>
      <c r="F810" s="10"/>
      <c r="G810" s="10"/>
      <c r="H810" s="10"/>
      <c r="I810" s="11"/>
      <c r="J810" s="11"/>
      <c r="K810" s="11"/>
      <c r="L810" s="11"/>
      <c r="M810" s="10"/>
      <c r="N810" s="2"/>
      <c r="O810" s="11"/>
      <c r="P810" s="11"/>
      <c r="Q810" s="1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1"/>
      <c r="B811" s="10"/>
      <c r="C811" s="15"/>
      <c r="D811" s="12"/>
      <c r="E811" s="16"/>
      <c r="F811" s="10"/>
      <c r="G811" s="10"/>
      <c r="H811" s="10"/>
      <c r="I811" s="11"/>
      <c r="J811" s="11"/>
      <c r="K811" s="11"/>
      <c r="L811" s="11"/>
      <c r="M811" s="10"/>
      <c r="N811" s="2"/>
      <c r="O811" s="11"/>
      <c r="P811" s="11"/>
      <c r="Q811" s="1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1"/>
      <c r="B812" s="10"/>
      <c r="C812" s="15"/>
      <c r="D812" s="12"/>
      <c r="E812" s="16"/>
      <c r="F812" s="10"/>
      <c r="G812" s="10"/>
      <c r="H812" s="10"/>
      <c r="I812" s="11"/>
      <c r="J812" s="11"/>
      <c r="K812" s="11"/>
      <c r="L812" s="11"/>
      <c r="M812" s="10"/>
      <c r="N812" s="2"/>
      <c r="O812" s="11"/>
      <c r="P812" s="11"/>
      <c r="Q812" s="1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1"/>
      <c r="B813" s="10"/>
      <c r="C813" s="15"/>
      <c r="D813" s="12"/>
      <c r="E813" s="16"/>
      <c r="F813" s="10"/>
      <c r="G813" s="10"/>
      <c r="H813" s="10"/>
      <c r="I813" s="11"/>
      <c r="J813" s="11"/>
      <c r="K813" s="11"/>
      <c r="L813" s="11"/>
      <c r="M813" s="10"/>
      <c r="N813" s="2"/>
      <c r="O813" s="11"/>
      <c r="P813" s="11"/>
      <c r="Q813" s="1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1"/>
      <c r="B814" s="10"/>
      <c r="C814" s="15"/>
      <c r="D814" s="12"/>
      <c r="E814" s="16"/>
      <c r="F814" s="10"/>
      <c r="G814" s="10"/>
      <c r="H814" s="10"/>
      <c r="I814" s="11"/>
      <c r="J814" s="11"/>
      <c r="K814" s="11"/>
      <c r="L814" s="11"/>
      <c r="M814" s="10"/>
      <c r="N814" s="2"/>
      <c r="O814" s="11"/>
      <c r="P814" s="11"/>
      <c r="Q814" s="1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1"/>
      <c r="B815" s="10"/>
      <c r="C815" s="15"/>
      <c r="D815" s="12"/>
      <c r="E815" s="16"/>
      <c r="F815" s="10"/>
      <c r="G815" s="10"/>
      <c r="H815" s="10"/>
      <c r="I815" s="11"/>
      <c r="J815" s="11"/>
      <c r="K815" s="11"/>
      <c r="L815" s="11"/>
      <c r="M815" s="10"/>
      <c r="N815" s="2"/>
      <c r="O815" s="11"/>
      <c r="P815" s="11"/>
      <c r="Q815" s="1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1"/>
      <c r="B816" s="10"/>
      <c r="C816" s="15"/>
      <c r="D816" s="12"/>
      <c r="E816" s="16"/>
      <c r="F816" s="10"/>
      <c r="G816" s="10"/>
      <c r="H816" s="10"/>
      <c r="I816" s="11"/>
      <c r="J816" s="11"/>
      <c r="K816" s="11"/>
      <c r="L816" s="11"/>
      <c r="M816" s="10"/>
      <c r="N816" s="2"/>
      <c r="O816" s="11"/>
      <c r="P816" s="11"/>
      <c r="Q816" s="1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1"/>
      <c r="B817" s="10"/>
      <c r="C817" s="15"/>
      <c r="D817" s="12"/>
      <c r="E817" s="16"/>
      <c r="F817" s="10"/>
      <c r="G817" s="10"/>
      <c r="H817" s="10"/>
      <c r="I817" s="11"/>
      <c r="J817" s="11"/>
      <c r="K817" s="11"/>
      <c r="L817" s="11"/>
      <c r="M817" s="10"/>
      <c r="N817" s="2"/>
      <c r="O817" s="11"/>
      <c r="P817" s="11"/>
      <c r="Q817" s="1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1"/>
      <c r="B818" s="10"/>
      <c r="C818" s="15"/>
      <c r="D818" s="12"/>
      <c r="E818" s="16"/>
      <c r="F818" s="10"/>
      <c r="G818" s="10"/>
      <c r="H818" s="10"/>
      <c r="I818" s="11"/>
      <c r="J818" s="11"/>
      <c r="K818" s="11"/>
      <c r="L818" s="11"/>
      <c r="M818" s="10"/>
      <c r="N818" s="2"/>
      <c r="O818" s="11"/>
      <c r="P818" s="11"/>
      <c r="Q818" s="1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1"/>
      <c r="B819" s="10"/>
      <c r="C819" s="15"/>
      <c r="D819" s="12"/>
      <c r="E819" s="16"/>
      <c r="F819" s="10"/>
      <c r="G819" s="10"/>
      <c r="H819" s="10"/>
      <c r="I819" s="11"/>
      <c r="J819" s="11"/>
      <c r="K819" s="11"/>
      <c r="L819" s="11"/>
      <c r="M819" s="10"/>
      <c r="N819" s="2"/>
      <c r="O819" s="11"/>
      <c r="P819" s="11"/>
      <c r="Q819" s="1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1"/>
      <c r="B820" s="10"/>
      <c r="C820" s="15"/>
      <c r="D820" s="12"/>
      <c r="E820" s="16"/>
      <c r="F820" s="10"/>
      <c r="G820" s="10"/>
      <c r="H820" s="10"/>
      <c r="I820" s="11"/>
      <c r="J820" s="11"/>
      <c r="K820" s="11"/>
      <c r="L820" s="11"/>
      <c r="M820" s="10"/>
      <c r="N820" s="2"/>
      <c r="O820" s="11"/>
      <c r="P820" s="11"/>
      <c r="Q820" s="1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1"/>
      <c r="B821" s="10"/>
      <c r="C821" s="15"/>
      <c r="D821" s="12"/>
      <c r="E821" s="16"/>
      <c r="F821" s="10"/>
      <c r="G821" s="10"/>
      <c r="H821" s="10"/>
      <c r="I821" s="11"/>
      <c r="J821" s="11"/>
      <c r="K821" s="11"/>
      <c r="L821" s="11"/>
      <c r="M821" s="10"/>
      <c r="N821" s="2"/>
      <c r="O821" s="11"/>
      <c r="P821" s="11"/>
      <c r="Q821" s="1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1"/>
      <c r="B822" s="10"/>
      <c r="C822" s="15"/>
      <c r="D822" s="12"/>
      <c r="E822" s="16"/>
      <c r="F822" s="10"/>
      <c r="G822" s="10"/>
      <c r="H822" s="10"/>
      <c r="I822" s="11"/>
      <c r="J822" s="11"/>
      <c r="K822" s="11"/>
      <c r="L822" s="11"/>
      <c r="M822" s="10"/>
      <c r="N822" s="2"/>
      <c r="O822" s="11"/>
      <c r="P822" s="11"/>
      <c r="Q822" s="1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1"/>
      <c r="B823" s="10"/>
      <c r="C823" s="15"/>
      <c r="D823" s="12"/>
      <c r="E823" s="16"/>
      <c r="F823" s="10"/>
      <c r="G823" s="10"/>
      <c r="H823" s="10"/>
      <c r="I823" s="11"/>
      <c r="J823" s="11"/>
      <c r="K823" s="11"/>
      <c r="L823" s="11"/>
      <c r="M823" s="10"/>
      <c r="N823" s="2"/>
      <c r="O823" s="11"/>
      <c r="P823" s="11"/>
      <c r="Q823" s="1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1"/>
      <c r="B824" s="10"/>
      <c r="C824" s="15"/>
      <c r="D824" s="12"/>
      <c r="E824" s="16"/>
      <c r="F824" s="10"/>
      <c r="G824" s="10"/>
      <c r="H824" s="10"/>
      <c r="I824" s="11"/>
      <c r="J824" s="11"/>
      <c r="K824" s="11"/>
      <c r="L824" s="11"/>
      <c r="M824" s="10"/>
      <c r="N824" s="2"/>
      <c r="O824" s="11"/>
      <c r="P824" s="11"/>
      <c r="Q824" s="1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1"/>
      <c r="B825" s="10"/>
      <c r="C825" s="15"/>
      <c r="D825" s="12"/>
      <c r="E825" s="16"/>
      <c r="F825" s="10"/>
      <c r="G825" s="10"/>
      <c r="H825" s="10"/>
      <c r="I825" s="11"/>
      <c r="J825" s="11"/>
      <c r="K825" s="11"/>
      <c r="L825" s="11"/>
      <c r="M825" s="10"/>
      <c r="N825" s="2"/>
      <c r="O825" s="11"/>
      <c r="P825" s="11"/>
      <c r="Q825" s="1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1"/>
      <c r="B826" s="10"/>
      <c r="C826" s="15"/>
      <c r="D826" s="12"/>
      <c r="E826" s="16"/>
      <c r="F826" s="10"/>
      <c r="G826" s="10"/>
      <c r="H826" s="10"/>
      <c r="I826" s="11"/>
      <c r="J826" s="11"/>
      <c r="K826" s="11"/>
      <c r="L826" s="11"/>
      <c r="M826" s="10"/>
      <c r="N826" s="2"/>
      <c r="O826" s="11"/>
      <c r="P826" s="11"/>
      <c r="Q826" s="1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1"/>
      <c r="B827" s="10"/>
      <c r="C827" s="15"/>
      <c r="D827" s="12"/>
      <c r="E827" s="16"/>
      <c r="F827" s="10"/>
      <c r="G827" s="10"/>
      <c r="H827" s="10"/>
      <c r="I827" s="11"/>
      <c r="J827" s="11"/>
      <c r="K827" s="11"/>
      <c r="L827" s="11"/>
      <c r="M827" s="10"/>
      <c r="N827" s="2"/>
      <c r="O827" s="11"/>
      <c r="P827" s="11"/>
      <c r="Q827" s="1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1"/>
      <c r="B828" s="10"/>
      <c r="C828" s="15"/>
      <c r="D828" s="12"/>
      <c r="E828" s="16"/>
      <c r="F828" s="10"/>
      <c r="G828" s="10"/>
      <c r="H828" s="10"/>
      <c r="I828" s="11"/>
      <c r="J828" s="11"/>
      <c r="K828" s="11"/>
      <c r="L828" s="11"/>
      <c r="M828" s="10"/>
      <c r="N828" s="2"/>
      <c r="O828" s="11"/>
      <c r="P828" s="11"/>
      <c r="Q828" s="1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1"/>
      <c r="B829" s="10"/>
      <c r="C829" s="15"/>
      <c r="D829" s="12"/>
      <c r="E829" s="16"/>
      <c r="F829" s="10"/>
      <c r="G829" s="10"/>
      <c r="H829" s="10"/>
      <c r="I829" s="11"/>
      <c r="J829" s="11"/>
      <c r="K829" s="11"/>
      <c r="L829" s="11"/>
      <c r="M829" s="10"/>
      <c r="N829" s="2"/>
      <c r="O829" s="11"/>
      <c r="P829" s="11"/>
      <c r="Q829" s="1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1"/>
      <c r="B830" s="10"/>
      <c r="C830" s="15"/>
      <c r="D830" s="12"/>
      <c r="E830" s="16"/>
      <c r="F830" s="10"/>
      <c r="G830" s="10"/>
      <c r="H830" s="10"/>
      <c r="I830" s="11"/>
      <c r="J830" s="11"/>
      <c r="K830" s="11"/>
      <c r="L830" s="11"/>
      <c r="M830" s="10"/>
      <c r="N830" s="2"/>
      <c r="O830" s="11"/>
      <c r="P830" s="11"/>
      <c r="Q830" s="1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1"/>
      <c r="B831" s="10"/>
      <c r="C831" s="15"/>
      <c r="D831" s="12"/>
      <c r="E831" s="16"/>
      <c r="F831" s="10"/>
      <c r="G831" s="10"/>
      <c r="H831" s="10"/>
      <c r="I831" s="11"/>
      <c r="J831" s="11"/>
      <c r="K831" s="11"/>
      <c r="L831" s="11"/>
      <c r="M831" s="10"/>
      <c r="N831" s="2"/>
      <c r="O831" s="11"/>
      <c r="P831" s="11"/>
      <c r="Q831" s="1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1"/>
      <c r="B832" s="10"/>
      <c r="C832" s="15"/>
      <c r="D832" s="12"/>
      <c r="E832" s="16"/>
      <c r="F832" s="10"/>
      <c r="G832" s="10"/>
      <c r="H832" s="10"/>
      <c r="I832" s="11"/>
      <c r="J832" s="11"/>
      <c r="K832" s="11"/>
      <c r="L832" s="11"/>
      <c r="M832" s="10"/>
      <c r="N832" s="2"/>
      <c r="O832" s="11"/>
      <c r="P832" s="11"/>
      <c r="Q832" s="1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1"/>
      <c r="B833" s="10"/>
      <c r="C833" s="15"/>
      <c r="D833" s="12"/>
      <c r="E833" s="16"/>
      <c r="F833" s="10"/>
      <c r="G833" s="10"/>
      <c r="H833" s="10"/>
      <c r="I833" s="11"/>
      <c r="J833" s="11"/>
      <c r="K833" s="11"/>
      <c r="L833" s="11"/>
      <c r="M833" s="10"/>
      <c r="N833" s="2"/>
      <c r="O833" s="11"/>
      <c r="P833" s="11"/>
      <c r="Q833" s="1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1"/>
      <c r="B834" s="10"/>
      <c r="C834" s="15"/>
      <c r="D834" s="12"/>
      <c r="E834" s="16"/>
      <c r="F834" s="10"/>
      <c r="G834" s="10"/>
      <c r="H834" s="10"/>
      <c r="I834" s="11"/>
      <c r="J834" s="11"/>
      <c r="K834" s="11"/>
      <c r="L834" s="11"/>
      <c r="M834" s="10"/>
      <c r="N834" s="2"/>
      <c r="O834" s="11"/>
      <c r="P834" s="11"/>
      <c r="Q834" s="1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1"/>
      <c r="B835" s="10"/>
      <c r="C835" s="15"/>
      <c r="D835" s="12"/>
      <c r="E835" s="16"/>
      <c r="F835" s="10"/>
      <c r="G835" s="10"/>
      <c r="H835" s="10"/>
      <c r="I835" s="11"/>
      <c r="J835" s="11"/>
      <c r="K835" s="11"/>
      <c r="L835" s="11"/>
      <c r="M835" s="10"/>
      <c r="N835" s="2"/>
      <c r="O835" s="11"/>
      <c r="P835" s="11"/>
      <c r="Q835" s="1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1"/>
      <c r="B836" s="10"/>
      <c r="C836" s="15"/>
      <c r="D836" s="12"/>
      <c r="E836" s="16"/>
      <c r="F836" s="10"/>
      <c r="G836" s="10"/>
      <c r="H836" s="10"/>
      <c r="I836" s="11"/>
      <c r="J836" s="11"/>
      <c r="K836" s="11"/>
      <c r="L836" s="11"/>
      <c r="M836" s="10"/>
      <c r="N836" s="2"/>
      <c r="O836" s="11"/>
      <c r="P836" s="11"/>
      <c r="Q836" s="1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1"/>
      <c r="B837" s="10"/>
      <c r="C837" s="15"/>
      <c r="D837" s="12"/>
      <c r="E837" s="16"/>
      <c r="F837" s="10"/>
      <c r="G837" s="10"/>
      <c r="H837" s="10"/>
      <c r="I837" s="11"/>
      <c r="J837" s="11"/>
      <c r="K837" s="11"/>
      <c r="L837" s="11"/>
      <c r="M837" s="10"/>
      <c r="N837" s="2"/>
      <c r="O837" s="11"/>
      <c r="P837" s="11"/>
      <c r="Q837" s="1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1"/>
      <c r="B838" s="10"/>
      <c r="C838" s="15"/>
      <c r="D838" s="12"/>
      <c r="E838" s="16"/>
      <c r="F838" s="10"/>
      <c r="G838" s="10"/>
      <c r="H838" s="10"/>
      <c r="I838" s="11"/>
      <c r="J838" s="11"/>
      <c r="K838" s="11"/>
      <c r="L838" s="11"/>
      <c r="M838" s="10"/>
      <c r="N838" s="2"/>
      <c r="O838" s="11"/>
      <c r="P838" s="11"/>
      <c r="Q838" s="1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1"/>
      <c r="B839" s="10"/>
      <c r="C839" s="15"/>
      <c r="D839" s="12"/>
      <c r="E839" s="16"/>
      <c r="F839" s="10"/>
      <c r="G839" s="10"/>
      <c r="H839" s="10"/>
      <c r="I839" s="11"/>
      <c r="J839" s="11"/>
      <c r="K839" s="11"/>
      <c r="L839" s="11"/>
      <c r="M839" s="10"/>
      <c r="N839" s="2"/>
      <c r="O839" s="11"/>
      <c r="P839" s="11"/>
      <c r="Q839" s="1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1"/>
      <c r="B840" s="10"/>
      <c r="C840" s="15"/>
      <c r="D840" s="12"/>
      <c r="E840" s="16"/>
      <c r="F840" s="10"/>
      <c r="G840" s="10"/>
      <c r="H840" s="10"/>
      <c r="I840" s="11"/>
      <c r="J840" s="11"/>
      <c r="K840" s="11"/>
      <c r="L840" s="11"/>
      <c r="M840" s="10"/>
      <c r="N840" s="2"/>
      <c r="O840" s="11"/>
      <c r="P840" s="11"/>
      <c r="Q840" s="1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1"/>
      <c r="B841" s="10"/>
      <c r="C841" s="15"/>
      <c r="D841" s="12"/>
      <c r="E841" s="16"/>
      <c r="F841" s="10"/>
      <c r="G841" s="10"/>
      <c r="H841" s="10"/>
      <c r="I841" s="11"/>
      <c r="J841" s="11"/>
      <c r="K841" s="11"/>
      <c r="L841" s="11"/>
      <c r="M841" s="10"/>
      <c r="N841" s="2"/>
      <c r="O841" s="11"/>
      <c r="P841" s="11"/>
      <c r="Q841" s="1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1"/>
      <c r="B842" s="10"/>
      <c r="C842" s="15"/>
      <c r="D842" s="12"/>
      <c r="E842" s="16"/>
      <c r="F842" s="10"/>
      <c r="G842" s="10"/>
      <c r="H842" s="10"/>
      <c r="I842" s="11"/>
      <c r="J842" s="11"/>
      <c r="K842" s="11"/>
      <c r="L842" s="11"/>
      <c r="M842" s="10"/>
      <c r="N842" s="2"/>
      <c r="O842" s="11"/>
      <c r="P842" s="11"/>
      <c r="Q842" s="1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1"/>
      <c r="B843" s="10"/>
      <c r="C843" s="15"/>
      <c r="D843" s="12"/>
      <c r="E843" s="16"/>
      <c r="F843" s="10"/>
      <c r="G843" s="10"/>
      <c r="H843" s="10"/>
      <c r="I843" s="11"/>
      <c r="J843" s="11"/>
      <c r="K843" s="11"/>
      <c r="L843" s="11"/>
      <c r="M843" s="10"/>
      <c r="N843" s="2"/>
      <c r="O843" s="11"/>
      <c r="P843" s="11"/>
      <c r="Q843" s="1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1"/>
      <c r="B844" s="10"/>
      <c r="C844" s="15"/>
      <c r="D844" s="12"/>
      <c r="E844" s="16"/>
      <c r="F844" s="10"/>
      <c r="G844" s="10"/>
      <c r="H844" s="10"/>
      <c r="I844" s="11"/>
      <c r="J844" s="11"/>
      <c r="K844" s="11"/>
      <c r="L844" s="11"/>
      <c r="M844" s="10"/>
      <c r="N844" s="2"/>
      <c r="O844" s="11"/>
      <c r="P844" s="11"/>
      <c r="Q844" s="1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1"/>
      <c r="B845" s="10"/>
      <c r="C845" s="15"/>
      <c r="D845" s="12"/>
      <c r="E845" s="16"/>
      <c r="F845" s="10"/>
      <c r="G845" s="10"/>
      <c r="H845" s="10"/>
      <c r="I845" s="11"/>
      <c r="J845" s="11"/>
      <c r="K845" s="11"/>
      <c r="L845" s="11"/>
      <c r="M845" s="10"/>
      <c r="N845" s="2"/>
      <c r="O845" s="11"/>
      <c r="P845" s="11"/>
      <c r="Q845" s="1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1"/>
      <c r="B846" s="10"/>
      <c r="C846" s="15"/>
      <c r="D846" s="12"/>
      <c r="E846" s="16"/>
      <c r="F846" s="10"/>
      <c r="G846" s="10"/>
      <c r="H846" s="10"/>
      <c r="I846" s="11"/>
      <c r="J846" s="11"/>
      <c r="K846" s="11"/>
      <c r="L846" s="11"/>
      <c r="M846" s="10"/>
      <c r="N846" s="2"/>
      <c r="O846" s="11"/>
      <c r="P846" s="11"/>
      <c r="Q846" s="1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1"/>
      <c r="B847" s="10"/>
      <c r="C847" s="15"/>
      <c r="D847" s="12"/>
      <c r="E847" s="16"/>
      <c r="F847" s="10"/>
      <c r="G847" s="10"/>
      <c r="H847" s="10"/>
      <c r="I847" s="11"/>
      <c r="J847" s="11"/>
      <c r="K847" s="11"/>
      <c r="L847" s="11"/>
      <c r="M847" s="10"/>
      <c r="N847" s="2"/>
      <c r="O847" s="11"/>
      <c r="P847" s="11"/>
      <c r="Q847" s="1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1"/>
      <c r="B848" s="10"/>
      <c r="C848" s="15"/>
      <c r="D848" s="12"/>
      <c r="E848" s="16"/>
      <c r="F848" s="10"/>
      <c r="G848" s="10"/>
      <c r="H848" s="10"/>
      <c r="I848" s="11"/>
      <c r="J848" s="11"/>
      <c r="K848" s="11"/>
      <c r="L848" s="11"/>
      <c r="M848" s="10"/>
      <c r="N848" s="2"/>
      <c r="O848" s="11"/>
      <c r="P848" s="11"/>
      <c r="Q848" s="1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1"/>
      <c r="B849" s="10"/>
      <c r="C849" s="15"/>
      <c r="D849" s="12"/>
      <c r="E849" s="16"/>
      <c r="F849" s="10"/>
      <c r="G849" s="10"/>
      <c r="H849" s="10"/>
      <c r="I849" s="11"/>
      <c r="J849" s="11"/>
      <c r="K849" s="11"/>
      <c r="L849" s="11"/>
      <c r="M849" s="10"/>
      <c r="N849" s="2"/>
      <c r="O849" s="11"/>
      <c r="P849" s="11"/>
      <c r="Q849" s="1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1"/>
      <c r="B850" s="10"/>
      <c r="C850" s="15"/>
      <c r="D850" s="12"/>
      <c r="E850" s="16"/>
      <c r="F850" s="10"/>
      <c r="G850" s="10"/>
      <c r="H850" s="10"/>
      <c r="I850" s="11"/>
      <c r="J850" s="11"/>
      <c r="K850" s="11"/>
      <c r="L850" s="11"/>
      <c r="M850" s="10"/>
      <c r="N850" s="2"/>
      <c r="O850" s="11"/>
      <c r="P850" s="11"/>
      <c r="Q850" s="1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1"/>
      <c r="B851" s="10"/>
      <c r="C851" s="15"/>
      <c r="D851" s="12"/>
      <c r="E851" s="16"/>
      <c r="F851" s="10"/>
      <c r="G851" s="10"/>
      <c r="H851" s="10"/>
      <c r="I851" s="11"/>
      <c r="J851" s="11"/>
      <c r="K851" s="11"/>
      <c r="L851" s="11"/>
      <c r="M851" s="10"/>
      <c r="N851" s="2"/>
      <c r="O851" s="11"/>
      <c r="P851" s="11"/>
      <c r="Q851" s="1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1"/>
      <c r="B852" s="10"/>
      <c r="C852" s="15"/>
      <c r="D852" s="12"/>
      <c r="E852" s="16"/>
      <c r="F852" s="10"/>
      <c r="G852" s="10"/>
      <c r="H852" s="10"/>
      <c r="I852" s="11"/>
      <c r="J852" s="11"/>
      <c r="K852" s="11"/>
      <c r="L852" s="11"/>
      <c r="M852" s="10"/>
      <c r="N852" s="2"/>
      <c r="O852" s="11"/>
      <c r="P852" s="11"/>
      <c r="Q852" s="1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1"/>
      <c r="B853" s="10"/>
      <c r="C853" s="15"/>
      <c r="D853" s="12"/>
      <c r="E853" s="16"/>
      <c r="F853" s="10"/>
      <c r="G853" s="10"/>
      <c r="H853" s="10"/>
      <c r="I853" s="11"/>
      <c r="J853" s="11"/>
      <c r="K853" s="11"/>
      <c r="L853" s="11"/>
      <c r="M853" s="10"/>
      <c r="N853" s="2"/>
      <c r="O853" s="11"/>
      <c r="P853" s="11"/>
      <c r="Q853" s="1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1"/>
      <c r="B854" s="10"/>
      <c r="C854" s="15"/>
      <c r="D854" s="12"/>
      <c r="E854" s="16"/>
      <c r="F854" s="10"/>
      <c r="G854" s="10"/>
      <c r="H854" s="10"/>
      <c r="I854" s="11"/>
      <c r="J854" s="11"/>
      <c r="K854" s="11"/>
      <c r="L854" s="11"/>
      <c r="M854" s="10"/>
      <c r="N854" s="2"/>
      <c r="O854" s="11"/>
      <c r="P854" s="11"/>
      <c r="Q854" s="1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1"/>
      <c r="B855" s="10"/>
      <c r="C855" s="15"/>
      <c r="D855" s="12"/>
      <c r="E855" s="16"/>
      <c r="F855" s="10"/>
      <c r="G855" s="10"/>
      <c r="H855" s="10"/>
      <c r="I855" s="11"/>
      <c r="J855" s="11"/>
      <c r="K855" s="11"/>
      <c r="L855" s="11"/>
      <c r="M855" s="10"/>
      <c r="N855" s="2"/>
      <c r="O855" s="11"/>
      <c r="P855" s="11"/>
      <c r="Q855" s="1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1"/>
      <c r="B856" s="10"/>
      <c r="C856" s="15"/>
      <c r="D856" s="12"/>
      <c r="E856" s="16"/>
      <c r="F856" s="10"/>
      <c r="G856" s="10"/>
      <c r="H856" s="10"/>
      <c r="I856" s="11"/>
      <c r="J856" s="11"/>
      <c r="K856" s="11"/>
      <c r="L856" s="11"/>
      <c r="M856" s="10"/>
      <c r="N856" s="2"/>
      <c r="O856" s="11"/>
      <c r="P856" s="11"/>
      <c r="Q856" s="1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1"/>
      <c r="B857" s="10"/>
      <c r="C857" s="15"/>
      <c r="D857" s="12"/>
      <c r="E857" s="16"/>
      <c r="F857" s="10"/>
      <c r="G857" s="10"/>
      <c r="H857" s="10"/>
      <c r="I857" s="11"/>
      <c r="J857" s="11"/>
      <c r="K857" s="11"/>
      <c r="L857" s="11"/>
      <c r="M857" s="10"/>
      <c r="N857" s="2"/>
      <c r="O857" s="11"/>
      <c r="P857" s="11"/>
      <c r="Q857" s="1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1"/>
      <c r="B858" s="10"/>
      <c r="C858" s="15"/>
      <c r="D858" s="12"/>
      <c r="E858" s="16"/>
      <c r="F858" s="10"/>
      <c r="G858" s="10"/>
      <c r="H858" s="10"/>
      <c r="I858" s="11"/>
      <c r="J858" s="11"/>
      <c r="K858" s="11"/>
      <c r="L858" s="11"/>
      <c r="M858" s="10"/>
      <c r="N858" s="2"/>
      <c r="O858" s="11"/>
      <c r="P858" s="11"/>
      <c r="Q858" s="1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1"/>
      <c r="B859" s="10"/>
      <c r="C859" s="15"/>
      <c r="D859" s="12"/>
      <c r="E859" s="16"/>
      <c r="F859" s="10"/>
      <c r="G859" s="10"/>
      <c r="H859" s="10"/>
      <c r="I859" s="11"/>
      <c r="J859" s="11"/>
      <c r="K859" s="11"/>
      <c r="L859" s="11"/>
      <c r="M859" s="10"/>
      <c r="N859" s="2"/>
      <c r="O859" s="11"/>
      <c r="P859" s="11"/>
      <c r="Q859" s="1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1"/>
      <c r="B860" s="10"/>
      <c r="C860" s="15"/>
      <c r="D860" s="12"/>
      <c r="E860" s="16"/>
      <c r="F860" s="10"/>
      <c r="G860" s="10"/>
      <c r="H860" s="10"/>
      <c r="I860" s="11"/>
      <c r="J860" s="11"/>
      <c r="K860" s="11"/>
      <c r="L860" s="11"/>
      <c r="M860" s="10"/>
      <c r="N860" s="2"/>
      <c r="O860" s="11"/>
      <c r="P860" s="11"/>
      <c r="Q860" s="1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1"/>
      <c r="B861" s="10"/>
      <c r="C861" s="15"/>
      <c r="D861" s="12"/>
      <c r="E861" s="16"/>
      <c r="F861" s="10"/>
      <c r="G861" s="10"/>
      <c r="H861" s="10"/>
      <c r="I861" s="11"/>
      <c r="J861" s="11"/>
      <c r="K861" s="11"/>
      <c r="L861" s="11"/>
      <c r="M861" s="10"/>
      <c r="N861" s="2"/>
      <c r="O861" s="11"/>
      <c r="P861" s="11"/>
      <c r="Q861" s="1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1"/>
      <c r="B862" s="10"/>
      <c r="C862" s="15"/>
      <c r="D862" s="12"/>
      <c r="E862" s="16"/>
      <c r="F862" s="10"/>
      <c r="G862" s="10"/>
      <c r="H862" s="10"/>
      <c r="I862" s="11"/>
      <c r="J862" s="11"/>
      <c r="K862" s="11"/>
      <c r="L862" s="11"/>
      <c r="M862" s="10"/>
      <c r="N862" s="2"/>
      <c r="O862" s="11"/>
      <c r="P862" s="11"/>
      <c r="Q862" s="1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1"/>
      <c r="B863" s="10"/>
      <c r="C863" s="15"/>
      <c r="D863" s="12"/>
      <c r="E863" s="16"/>
      <c r="F863" s="10"/>
      <c r="G863" s="10"/>
      <c r="H863" s="10"/>
      <c r="I863" s="11"/>
      <c r="J863" s="11"/>
      <c r="K863" s="11"/>
      <c r="L863" s="11"/>
      <c r="M863" s="10"/>
      <c r="N863" s="2"/>
      <c r="O863" s="11"/>
      <c r="P863" s="11"/>
      <c r="Q863" s="1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1"/>
      <c r="B864" s="10"/>
      <c r="C864" s="15"/>
      <c r="D864" s="12"/>
      <c r="E864" s="16"/>
      <c r="F864" s="10"/>
      <c r="G864" s="10"/>
      <c r="H864" s="10"/>
      <c r="I864" s="11"/>
      <c r="J864" s="11"/>
      <c r="K864" s="11"/>
      <c r="L864" s="11"/>
      <c r="M864" s="10"/>
      <c r="N864" s="2"/>
      <c r="O864" s="11"/>
      <c r="P864" s="11"/>
      <c r="Q864" s="1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1"/>
      <c r="B865" s="10"/>
      <c r="C865" s="15"/>
      <c r="D865" s="12"/>
      <c r="E865" s="16"/>
      <c r="F865" s="10"/>
      <c r="G865" s="10"/>
      <c r="H865" s="10"/>
      <c r="I865" s="11"/>
      <c r="J865" s="11"/>
      <c r="K865" s="11"/>
      <c r="L865" s="11"/>
      <c r="M865" s="10"/>
      <c r="N865" s="2"/>
      <c r="O865" s="11"/>
      <c r="P865" s="11"/>
      <c r="Q865" s="1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1"/>
      <c r="B866" s="10"/>
      <c r="C866" s="15"/>
      <c r="D866" s="12"/>
      <c r="E866" s="16"/>
      <c r="F866" s="10"/>
      <c r="G866" s="10"/>
      <c r="H866" s="10"/>
      <c r="I866" s="11"/>
      <c r="J866" s="11"/>
      <c r="K866" s="11"/>
      <c r="L866" s="11"/>
      <c r="M866" s="10"/>
      <c r="N866" s="2"/>
      <c r="O866" s="11"/>
      <c r="P866" s="11"/>
      <c r="Q866" s="1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1"/>
      <c r="B867" s="10"/>
      <c r="C867" s="15"/>
      <c r="D867" s="12"/>
      <c r="E867" s="16"/>
      <c r="F867" s="10"/>
      <c r="G867" s="10"/>
      <c r="H867" s="10"/>
      <c r="I867" s="11"/>
      <c r="J867" s="11"/>
      <c r="K867" s="11"/>
      <c r="L867" s="11"/>
      <c r="M867" s="10"/>
      <c r="N867" s="2"/>
      <c r="O867" s="11"/>
      <c r="P867" s="11"/>
      <c r="Q867" s="1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1"/>
      <c r="B868" s="10"/>
      <c r="C868" s="15"/>
      <c r="D868" s="12"/>
      <c r="E868" s="16"/>
      <c r="F868" s="10"/>
      <c r="G868" s="10"/>
      <c r="H868" s="10"/>
      <c r="I868" s="11"/>
      <c r="J868" s="11"/>
      <c r="K868" s="11"/>
      <c r="L868" s="11"/>
      <c r="M868" s="10"/>
      <c r="N868" s="2"/>
      <c r="O868" s="11"/>
      <c r="P868" s="11"/>
      <c r="Q868" s="1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1"/>
      <c r="B869" s="10"/>
      <c r="C869" s="15"/>
      <c r="D869" s="12"/>
      <c r="E869" s="16"/>
      <c r="F869" s="10"/>
      <c r="G869" s="10"/>
      <c r="H869" s="10"/>
      <c r="I869" s="11"/>
      <c r="J869" s="11"/>
      <c r="K869" s="11"/>
      <c r="L869" s="11"/>
      <c r="M869" s="10"/>
      <c r="N869" s="2"/>
      <c r="O869" s="11"/>
      <c r="P869" s="11"/>
      <c r="Q869" s="1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1"/>
      <c r="B870" s="10"/>
      <c r="C870" s="15"/>
      <c r="D870" s="12"/>
      <c r="E870" s="16"/>
      <c r="F870" s="10"/>
      <c r="G870" s="10"/>
      <c r="H870" s="10"/>
      <c r="I870" s="11"/>
      <c r="J870" s="11"/>
      <c r="K870" s="11"/>
      <c r="L870" s="11"/>
      <c r="M870" s="10"/>
      <c r="N870" s="2"/>
      <c r="O870" s="11"/>
      <c r="P870" s="11"/>
      <c r="Q870" s="1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1"/>
      <c r="B871" s="10"/>
      <c r="C871" s="15"/>
      <c r="D871" s="12"/>
      <c r="E871" s="16"/>
      <c r="F871" s="10"/>
      <c r="G871" s="10"/>
      <c r="H871" s="10"/>
      <c r="I871" s="11"/>
      <c r="J871" s="11"/>
      <c r="K871" s="11"/>
      <c r="L871" s="11"/>
      <c r="M871" s="10"/>
      <c r="N871" s="2"/>
      <c r="O871" s="11"/>
      <c r="P871" s="11"/>
      <c r="Q871" s="1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1"/>
      <c r="B872" s="10"/>
      <c r="C872" s="15"/>
      <c r="D872" s="12"/>
      <c r="E872" s="16"/>
      <c r="F872" s="10"/>
      <c r="G872" s="10"/>
      <c r="H872" s="10"/>
      <c r="I872" s="11"/>
      <c r="J872" s="11"/>
      <c r="K872" s="11"/>
      <c r="L872" s="11"/>
      <c r="M872" s="10"/>
      <c r="N872" s="2"/>
      <c r="O872" s="11"/>
      <c r="P872" s="11"/>
      <c r="Q872" s="1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1"/>
      <c r="B873" s="10"/>
      <c r="C873" s="15"/>
      <c r="D873" s="12"/>
      <c r="E873" s="16"/>
      <c r="F873" s="10"/>
      <c r="G873" s="10"/>
      <c r="H873" s="10"/>
      <c r="I873" s="11"/>
      <c r="J873" s="11"/>
      <c r="K873" s="11"/>
      <c r="L873" s="11"/>
      <c r="M873" s="10"/>
      <c r="N873" s="2"/>
      <c r="O873" s="11"/>
      <c r="P873" s="11"/>
      <c r="Q873" s="1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1"/>
      <c r="B874" s="10"/>
      <c r="C874" s="15"/>
      <c r="D874" s="12"/>
      <c r="E874" s="16"/>
      <c r="F874" s="10"/>
      <c r="G874" s="10"/>
      <c r="H874" s="10"/>
      <c r="I874" s="11"/>
      <c r="J874" s="11"/>
      <c r="K874" s="11"/>
      <c r="L874" s="11"/>
      <c r="M874" s="10"/>
      <c r="N874" s="2"/>
      <c r="O874" s="11"/>
      <c r="P874" s="11"/>
      <c r="Q874" s="1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1"/>
      <c r="B875" s="10"/>
      <c r="C875" s="15"/>
      <c r="D875" s="12"/>
      <c r="E875" s="16"/>
      <c r="F875" s="10"/>
      <c r="G875" s="10"/>
      <c r="H875" s="10"/>
      <c r="I875" s="11"/>
      <c r="J875" s="11"/>
      <c r="K875" s="11"/>
      <c r="L875" s="11"/>
      <c r="M875" s="10"/>
      <c r="N875" s="2"/>
      <c r="O875" s="11"/>
      <c r="P875" s="11"/>
      <c r="Q875" s="1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1"/>
      <c r="B876" s="10"/>
      <c r="C876" s="15"/>
      <c r="D876" s="12"/>
      <c r="E876" s="16"/>
      <c r="F876" s="10"/>
      <c r="G876" s="10"/>
      <c r="H876" s="10"/>
      <c r="I876" s="11"/>
      <c r="J876" s="11"/>
      <c r="K876" s="11"/>
      <c r="L876" s="11"/>
      <c r="M876" s="10"/>
      <c r="N876" s="2"/>
      <c r="O876" s="11"/>
      <c r="P876" s="11"/>
      <c r="Q876" s="1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1"/>
      <c r="B877" s="10"/>
      <c r="C877" s="15"/>
      <c r="D877" s="12"/>
      <c r="E877" s="16"/>
      <c r="F877" s="10"/>
      <c r="G877" s="10"/>
      <c r="H877" s="10"/>
      <c r="I877" s="11"/>
      <c r="J877" s="11"/>
      <c r="K877" s="11"/>
      <c r="L877" s="11"/>
      <c r="M877" s="10"/>
      <c r="N877" s="2"/>
      <c r="O877" s="11"/>
      <c r="P877" s="11"/>
      <c r="Q877" s="1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1"/>
      <c r="B878" s="10"/>
      <c r="C878" s="15"/>
      <c r="D878" s="12"/>
      <c r="E878" s="16"/>
      <c r="F878" s="10"/>
      <c r="G878" s="10"/>
      <c r="H878" s="10"/>
      <c r="I878" s="11"/>
      <c r="J878" s="11"/>
      <c r="K878" s="11"/>
      <c r="L878" s="11"/>
      <c r="M878" s="10"/>
      <c r="N878" s="2"/>
      <c r="O878" s="11"/>
      <c r="P878" s="11"/>
      <c r="Q878" s="1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1"/>
      <c r="B879" s="10"/>
      <c r="C879" s="15"/>
      <c r="D879" s="12"/>
      <c r="E879" s="16"/>
      <c r="F879" s="10"/>
      <c r="G879" s="10"/>
      <c r="H879" s="10"/>
      <c r="I879" s="11"/>
      <c r="J879" s="11"/>
      <c r="K879" s="11"/>
      <c r="L879" s="11"/>
      <c r="M879" s="10"/>
      <c r="N879" s="2"/>
      <c r="O879" s="11"/>
      <c r="P879" s="11"/>
      <c r="Q879" s="1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1"/>
      <c r="B880" s="10"/>
      <c r="C880" s="15"/>
      <c r="D880" s="12"/>
      <c r="E880" s="16"/>
      <c r="F880" s="10"/>
      <c r="G880" s="10"/>
      <c r="H880" s="10"/>
      <c r="I880" s="11"/>
      <c r="J880" s="11"/>
      <c r="K880" s="11"/>
      <c r="L880" s="11"/>
      <c r="M880" s="10"/>
      <c r="N880" s="2"/>
      <c r="O880" s="11"/>
      <c r="P880" s="11"/>
      <c r="Q880" s="1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1"/>
      <c r="B881" s="10"/>
      <c r="C881" s="15"/>
      <c r="D881" s="12"/>
      <c r="E881" s="16"/>
      <c r="F881" s="10"/>
      <c r="G881" s="10"/>
      <c r="H881" s="10"/>
      <c r="I881" s="11"/>
      <c r="J881" s="11"/>
      <c r="K881" s="11"/>
      <c r="L881" s="11"/>
      <c r="M881" s="10"/>
      <c r="N881" s="2"/>
      <c r="O881" s="11"/>
      <c r="P881" s="11"/>
      <c r="Q881" s="1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1"/>
      <c r="B882" s="10"/>
      <c r="C882" s="15"/>
      <c r="D882" s="12"/>
      <c r="E882" s="16"/>
      <c r="F882" s="10"/>
      <c r="G882" s="10"/>
      <c r="H882" s="10"/>
      <c r="I882" s="11"/>
      <c r="J882" s="11"/>
      <c r="K882" s="11"/>
      <c r="L882" s="11"/>
      <c r="M882" s="10"/>
      <c r="N882" s="2"/>
      <c r="O882" s="11"/>
      <c r="P882" s="11"/>
      <c r="Q882" s="1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1"/>
      <c r="B883" s="10"/>
      <c r="C883" s="15"/>
      <c r="D883" s="12"/>
      <c r="E883" s="16"/>
      <c r="F883" s="10"/>
      <c r="G883" s="10"/>
      <c r="H883" s="10"/>
      <c r="I883" s="11"/>
      <c r="J883" s="11"/>
      <c r="K883" s="11"/>
      <c r="L883" s="11"/>
      <c r="M883" s="10"/>
      <c r="N883" s="2"/>
      <c r="O883" s="11"/>
      <c r="P883" s="11"/>
      <c r="Q883" s="1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1"/>
      <c r="B884" s="10"/>
      <c r="C884" s="15"/>
      <c r="D884" s="12"/>
      <c r="E884" s="16"/>
      <c r="F884" s="10"/>
      <c r="G884" s="10"/>
      <c r="H884" s="10"/>
      <c r="I884" s="11"/>
      <c r="J884" s="11"/>
      <c r="K884" s="11"/>
      <c r="L884" s="11"/>
      <c r="M884" s="10"/>
      <c r="N884" s="2"/>
      <c r="O884" s="11"/>
      <c r="P884" s="11"/>
      <c r="Q884" s="1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1"/>
      <c r="B885" s="10"/>
      <c r="C885" s="15"/>
      <c r="D885" s="12"/>
      <c r="E885" s="16"/>
      <c r="F885" s="10"/>
      <c r="G885" s="10"/>
      <c r="H885" s="10"/>
      <c r="I885" s="11"/>
      <c r="J885" s="11"/>
      <c r="K885" s="11"/>
      <c r="L885" s="11"/>
      <c r="M885" s="10"/>
      <c r="N885" s="2"/>
      <c r="O885" s="11"/>
      <c r="P885" s="11"/>
      <c r="Q885" s="1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1"/>
      <c r="B886" s="10"/>
      <c r="C886" s="15"/>
      <c r="D886" s="12"/>
      <c r="E886" s="16"/>
      <c r="F886" s="10"/>
      <c r="G886" s="10"/>
      <c r="H886" s="10"/>
      <c r="I886" s="11"/>
      <c r="J886" s="11"/>
      <c r="K886" s="11"/>
      <c r="L886" s="11"/>
      <c r="M886" s="10"/>
      <c r="N886" s="2"/>
      <c r="O886" s="11"/>
      <c r="P886" s="11"/>
      <c r="Q886" s="1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1"/>
      <c r="B887" s="10"/>
      <c r="C887" s="15"/>
      <c r="D887" s="12"/>
      <c r="E887" s="16"/>
      <c r="F887" s="10"/>
      <c r="G887" s="10"/>
      <c r="H887" s="10"/>
      <c r="I887" s="11"/>
      <c r="J887" s="11"/>
      <c r="K887" s="11"/>
      <c r="L887" s="11"/>
      <c r="M887" s="10"/>
      <c r="N887" s="2"/>
      <c r="O887" s="11"/>
      <c r="P887" s="11"/>
      <c r="Q887" s="1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1"/>
      <c r="B888" s="10"/>
      <c r="C888" s="15"/>
      <c r="D888" s="12"/>
      <c r="E888" s="16"/>
      <c r="F888" s="10"/>
      <c r="G888" s="10"/>
      <c r="H888" s="10"/>
      <c r="I888" s="11"/>
      <c r="J888" s="11"/>
      <c r="K888" s="11"/>
      <c r="L888" s="11"/>
      <c r="M888" s="10"/>
      <c r="N888" s="2"/>
      <c r="O888" s="11"/>
      <c r="P888" s="11"/>
      <c r="Q888" s="1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1"/>
      <c r="B889" s="10"/>
      <c r="C889" s="15"/>
      <c r="D889" s="12"/>
      <c r="E889" s="16"/>
      <c r="F889" s="10"/>
      <c r="G889" s="10"/>
      <c r="H889" s="10"/>
      <c r="I889" s="11"/>
      <c r="J889" s="11"/>
      <c r="K889" s="11"/>
      <c r="L889" s="11"/>
      <c r="M889" s="10"/>
      <c r="N889" s="2"/>
      <c r="O889" s="11"/>
      <c r="P889" s="11"/>
      <c r="Q889" s="1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1"/>
      <c r="B890" s="10"/>
      <c r="C890" s="15"/>
      <c r="D890" s="12"/>
      <c r="E890" s="16"/>
      <c r="F890" s="10"/>
      <c r="G890" s="10"/>
      <c r="H890" s="10"/>
      <c r="I890" s="11"/>
      <c r="J890" s="11"/>
      <c r="K890" s="11"/>
      <c r="L890" s="11"/>
      <c r="M890" s="10"/>
      <c r="N890" s="2"/>
      <c r="O890" s="11"/>
      <c r="P890" s="11"/>
      <c r="Q890" s="1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1"/>
      <c r="B891" s="10"/>
      <c r="C891" s="15"/>
      <c r="D891" s="12"/>
      <c r="E891" s="16"/>
      <c r="F891" s="10"/>
      <c r="G891" s="10"/>
      <c r="H891" s="10"/>
      <c r="I891" s="11"/>
      <c r="J891" s="11"/>
      <c r="K891" s="11"/>
      <c r="L891" s="11"/>
      <c r="M891" s="10"/>
      <c r="N891" s="2"/>
      <c r="O891" s="11"/>
      <c r="P891" s="11"/>
      <c r="Q891" s="1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1"/>
      <c r="B892" s="10"/>
      <c r="C892" s="15"/>
      <c r="D892" s="12"/>
      <c r="E892" s="16"/>
      <c r="F892" s="10"/>
      <c r="G892" s="10"/>
      <c r="H892" s="10"/>
      <c r="I892" s="11"/>
      <c r="J892" s="11"/>
      <c r="K892" s="11"/>
      <c r="L892" s="11"/>
      <c r="M892" s="10"/>
      <c r="N892" s="2"/>
      <c r="O892" s="11"/>
      <c r="P892" s="11"/>
      <c r="Q892" s="1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1"/>
      <c r="B893" s="10"/>
      <c r="C893" s="15"/>
      <c r="D893" s="12"/>
      <c r="E893" s="16"/>
      <c r="F893" s="10"/>
      <c r="G893" s="10"/>
      <c r="H893" s="10"/>
      <c r="I893" s="11"/>
      <c r="J893" s="11"/>
      <c r="K893" s="11"/>
      <c r="L893" s="11"/>
      <c r="M893" s="10"/>
      <c r="N893" s="2"/>
      <c r="O893" s="11"/>
      <c r="P893" s="11"/>
      <c r="Q893" s="1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1"/>
      <c r="B894" s="10"/>
      <c r="C894" s="15"/>
      <c r="D894" s="12"/>
      <c r="E894" s="16"/>
      <c r="F894" s="10"/>
      <c r="G894" s="10"/>
      <c r="H894" s="10"/>
      <c r="I894" s="11"/>
      <c r="J894" s="11"/>
      <c r="K894" s="11"/>
      <c r="L894" s="11"/>
      <c r="M894" s="10"/>
      <c r="N894" s="2"/>
      <c r="O894" s="11"/>
      <c r="P894" s="11"/>
      <c r="Q894" s="1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1"/>
      <c r="B895" s="10"/>
      <c r="C895" s="15"/>
      <c r="D895" s="12"/>
      <c r="E895" s="16"/>
      <c r="F895" s="10"/>
      <c r="G895" s="10"/>
      <c r="H895" s="10"/>
      <c r="I895" s="11"/>
      <c r="J895" s="11"/>
      <c r="K895" s="11"/>
      <c r="L895" s="11"/>
      <c r="M895" s="10"/>
      <c r="N895" s="2"/>
      <c r="O895" s="11"/>
      <c r="P895" s="11"/>
      <c r="Q895" s="1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1"/>
      <c r="B896" s="10"/>
      <c r="C896" s="15"/>
      <c r="D896" s="12"/>
      <c r="E896" s="16"/>
      <c r="F896" s="10"/>
      <c r="G896" s="10"/>
      <c r="H896" s="10"/>
      <c r="I896" s="11"/>
      <c r="J896" s="11"/>
      <c r="K896" s="11"/>
      <c r="L896" s="11"/>
      <c r="M896" s="10"/>
      <c r="N896" s="2"/>
      <c r="O896" s="11"/>
      <c r="P896" s="11"/>
      <c r="Q896" s="1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1"/>
      <c r="B897" s="10"/>
      <c r="C897" s="15"/>
      <c r="D897" s="12"/>
      <c r="E897" s="16"/>
      <c r="F897" s="10"/>
      <c r="G897" s="10"/>
      <c r="H897" s="10"/>
      <c r="I897" s="11"/>
      <c r="J897" s="11"/>
      <c r="K897" s="11"/>
      <c r="L897" s="11"/>
      <c r="M897" s="10"/>
      <c r="N897" s="2"/>
      <c r="O897" s="11"/>
      <c r="P897" s="11"/>
      <c r="Q897" s="1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1"/>
      <c r="B898" s="10"/>
      <c r="C898" s="15"/>
      <c r="D898" s="12"/>
      <c r="E898" s="16"/>
      <c r="F898" s="10"/>
      <c r="G898" s="10"/>
      <c r="H898" s="10"/>
      <c r="I898" s="11"/>
      <c r="J898" s="11"/>
      <c r="K898" s="11"/>
      <c r="L898" s="11"/>
      <c r="M898" s="10"/>
      <c r="N898" s="2"/>
      <c r="O898" s="11"/>
      <c r="P898" s="11"/>
      <c r="Q898" s="1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1"/>
      <c r="B899" s="10"/>
      <c r="C899" s="15"/>
      <c r="D899" s="12"/>
      <c r="E899" s="16"/>
      <c r="F899" s="10"/>
      <c r="G899" s="10"/>
      <c r="H899" s="10"/>
      <c r="I899" s="11"/>
      <c r="J899" s="11"/>
      <c r="K899" s="11"/>
      <c r="L899" s="11"/>
      <c r="M899" s="10"/>
      <c r="N899" s="2"/>
      <c r="O899" s="11"/>
      <c r="P899" s="11"/>
      <c r="Q899" s="1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1"/>
      <c r="B900" s="10"/>
      <c r="C900" s="15"/>
      <c r="D900" s="12"/>
      <c r="E900" s="16"/>
      <c r="F900" s="10"/>
      <c r="G900" s="10"/>
      <c r="H900" s="10"/>
      <c r="I900" s="11"/>
      <c r="J900" s="11"/>
      <c r="K900" s="11"/>
      <c r="L900" s="11"/>
      <c r="M900" s="10"/>
      <c r="N900" s="2"/>
      <c r="O900" s="11"/>
      <c r="P900" s="11"/>
      <c r="Q900" s="1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1"/>
      <c r="B901" s="10"/>
      <c r="C901" s="15"/>
      <c r="D901" s="12"/>
      <c r="E901" s="16"/>
      <c r="F901" s="10"/>
      <c r="G901" s="10"/>
      <c r="H901" s="10"/>
      <c r="I901" s="11"/>
      <c r="J901" s="11"/>
      <c r="K901" s="11"/>
      <c r="L901" s="11"/>
      <c r="M901" s="10"/>
      <c r="N901" s="2"/>
      <c r="O901" s="11"/>
      <c r="P901" s="11"/>
      <c r="Q901" s="1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1"/>
      <c r="B902" s="10"/>
      <c r="C902" s="15"/>
      <c r="D902" s="12"/>
      <c r="E902" s="16"/>
      <c r="F902" s="10"/>
      <c r="G902" s="10"/>
      <c r="H902" s="10"/>
      <c r="I902" s="11"/>
      <c r="J902" s="11"/>
      <c r="K902" s="11"/>
      <c r="L902" s="11"/>
      <c r="M902" s="10"/>
      <c r="N902" s="2"/>
      <c r="O902" s="11"/>
      <c r="P902" s="11"/>
      <c r="Q902" s="1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1"/>
      <c r="B903" s="10"/>
      <c r="C903" s="15"/>
      <c r="D903" s="12"/>
      <c r="E903" s="16"/>
      <c r="F903" s="10"/>
      <c r="G903" s="10"/>
      <c r="H903" s="10"/>
      <c r="I903" s="11"/>
      <c r="J903" s="11"/>
      <c r="K903" s="11"/>
      <c r="L903" s="11"/>
      <c r="M903" s="10"/>
      <c r="N903" s="2"/>
      <c r="O903" s="11"/>
      <c r="P903" s="11"/>
      <c r="Q903" s="1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1"/>
      <c r="B904" s="10"/>
      <c r="C904" s="15"/>
      <c r="D904" s="12"/>
      <c r="E904" s="16"/>
      <c r="F904" s="10"/>
      <c r="G904" s="10"/>
      <c r="H904" s="10"/>
      <c r="I904" s="11"/>
      <c r="J904" s="11"/>
      <c r="K904" s="11"/>
      <c r="L904" s="11"/>
      <c r="M904" s="10"/>
      <c r="N904" s="2"/>
      <c r="O904" s="11"/>
      <c r="P904" s="11"/>
      <c r="Q904" s="1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>
      <c r="A905" s="11"/>
      <c r="B905" s="10"/>
      <c r="C905" s="15"/>
      <c r="D905" s="12"/>
      <c r="E905" s="16"/>
      <c r="F905" s="10"/>
      <c r="G905" s="10"/>
      <c r="H905" s="10"/>
      <c r="I905" s="11"/>
      <c r="J905" s="11"/>
      <c r="K905" s="11"/>
      <c r="L905" s="11"/>
      <c r="M905" s="10"/>
      <c r="N905" s="2"/>
      <c r="O905" s="11"/>
      <c r="P905" s="11"/>
      <c r="Q905" s="1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>
      <c r="A906" s="11"/>
      <c r="B906" s="10"/>
      <c r="C906" s="15"/>
      <c r="D906" s="12"/>
      <c r="E906" s="16"/>
      <c r="F906" s="10"/>
      <c r="G906" s="10"/>
      <c r="H906" s="10"/>
      <c r="I906" s="11"/>
      <c r="J906" s="11"/>
      <c r="K906" s="11"/>
      <c r="L906" s="11"/>
      <c r="M906" s="10"/>
      <c r="N906" s="2"/>
      <c r="O906" s="11"/>
      <c r="P906" s="11"/>
      <c r="Q906" s="1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>
      <c r="A907" s="11"/>
      <c r="B907" s="10"/>
      <c r="C907" s="15"/>
      <c r="D907" s="12"/>
      <c r="E907" s="16"/>
      <c r="F907" s="10"/>
      <c r="G907" s="10"/>
      <c r="H907" s="10"/>
      <c r="I907" s="11"/>
      <c r="J907" s="11"/>
      <c r="K907" s="11"/>
      <c r="L907" s="11"/>
      <c r="M907" s="10"/>
      <c r="N907" s="2"/>
      <c r="O907" s="11"/>
      <c r="P907" s="11"/>
      <c r="Q907" s="1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>
      <c r="A908" s="11"/>
      <c r="B908" s="10"/>
      <c r="C908" s="15"/>
      <c r="D908" s="12"/>
      <c r="E908" s="16"/>
      <c r="F908" s="10"/>
      <c r="G908" s="10"/>
      <c r="H908" s="10"/>
      <c r="I908" s="11"/>
      <c r="J908" s="11"/>
      <c r="K908" s="11"/>
      <c r="L908" s="11"/>
      <c r="M908" s="10"/>
      <c r="N908" s="2"/>
      <c r="O908" s="11"/>
      <c r="P908" s="11"/>
      <c r="Q908" s="1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>
      <c r="A909" s="11"/>
      <c r="B909" s="10"/>
      <c r="C909" s="15"/>
      <c r="D909" s="12"/>
      <c r="E909" s="16"/>
      <c r="F909" s="10"/>
      <c r="G909" s="10"/>
      <c r="H909" s="10"/>
      <c r="I909" s="11"/>
      <c r="J909" s="11"/>
      <c r="K909" s="11"/>
      <c r="L909" s="11"/>
      <c r="M909" s="10"/>
      <c r="N909" s="2"/>
      <c r="O909" s="11"/>
      <c r="P909" s="11"/>
      <c r="Q909" s="1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>
      <c r="A910" s="11"/>
      <c r="B910" s="10"/>
      <c r="C910" s="15"/>
      <c r="D910" s="12"/>
      <c r="E910" s="16"/>
      <c r="F910" s="10"/>
      <c r="G910" s="10"/>
      <c r="H910" s="10"/>
      <c r="I910" s="11"/>
      <c r="J910" s="11"/>
      <c r="K910" s="11"/>
      <c r="L910" s="11"/>
      <c r="M910" s="10"/>
      <c r="N910" s="2"/>
      <c r="O910" s="11"/>
      <c r="P910" s="11"/>
      <c r="Q910" s="1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>
      <c r="A911" s="11"/>
      <c r="B911" s="10"/>
      <c r="C911" s="15"/>
      <c r="D911" s="12"/>
      <c r="E911" s="16"/>
      <c r="F911" s="10"/>
      <c r="G911" s="10"/>
      <c r="H911" s="10"/>
      <c r="I911" s="11"/>
      <c r="J911" s="11"/>
      <c r="K911" s="11"/>
      <c r="L911" s="11"/>
      <c r="M911" s="10"/>
      <c r="N911" s="2"/>
      <c r="O911" s="11"/>
      <c r="P911" s="11"/>
      <c r="Q911" s="1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>
      <c r="A912" s="11"/>
      <c r="B912" s="10"/>
      <c r="C912" s="15"/>
      <c r="D912" s="12"/>
      <c r="E912" s="16"/>
      <c r="F912" s="10"/>
      <c r="G912" s="10"/>
      <c r="H912" s="10"/>
      <c r="I912" s="11"/>
      <c r="J912" s="11"/>
      <c r="K912" s="11"/>
      <c r="L912" s="11"/>
      <c r="M912" s="10"/>
      <c r="N912" s="2"/>
      <c r="O912" s="11"/>
      <c r="P912" s="11"/>
      <c r="Q912" s="1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>
      <c r="A913" s="11"/>
      <c r="B913" s="10"/>
      <c r="C913" s="15"/>
      <c r="D913" s="12"/>
      <c r="E913" s="16"/>
      <c r="F913" s="10"/>
      <c r="G913" s="10"/>
      <c r="H913" s="10"/>
      <c r="I913" s="11"/>
      <c r="J913" s="11"/>
      <c r="K913" s="11"/>
      <c r="L913" s="11"/>
      <c r="M913" s="10"/>
      <c r="N913" s="2"/>
      <c r="O913" s="11"/>
      <c r="P913" s="11"/>
      <c r="Q913" s="1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>
      <c r="A914" s="11"/>
      <c r="B914" s="10"/>
      <c r="C914" s="15"/>
      <c r="D914" s="12"/>
      <c r="E914" s="16"/>
      <c r="F914" s="10"/>
      <c r="G914" s="10"/>
      <c r="H914" s="10"/>
      <c r="I914" s="11"/>
      <c r="J914" s="11"/>
      <c r="K914" s="11"/>
      <c r="L914" s="11"/>
      <c r="M914" s="10"/>
      <c r="N914" s="2"/>
      <c r="O914" s="11"/>
      <c r="P914" s="11"/>
      <c r="Q914" s="1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>
      <c r="A915" s="11"/>
      <c r="B915" s="10"/>
      <c r="C915" s="15"/>
      <c r="D915" s="12"/>
      <c r="E915" s="16"/>
      <c r="F915" s="10"/>
      <c r="G915" s="10"/>
      <c r="H915" s="10"/>
      <c r="I915" s="11"/>
      <c r="J915" s="11"/>
      <c r="K915" s="11"/>
      <c r="L915" s="11"/>
      <c r="M915" s="10"/>
      <c r="N915" s="2"/>
      <c r="O915" s="11"/>
      <c r="P915" s="11"/>
      <c r="Q915" s="1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>
      <c r="A916" s="11"/>
      <c r="B916" s="10"/>
      <c r="C916" s="15"/>
      <c r="D916" s="12"/>
      <c r="E916" s="16"/>
      <c r="F916" s="10"/>
      <c r="G916" s="10"/>
      <c r="H916" s="10"/>
      <c r="I916" s="11"/>
      <c r="J916" s="11"/>
      <c r="K916" s="11"/>
      <c r="L916" s="11"/>
      <c r="M916" s="10"/>
      <c r="N916" s="2"/>
      <c r="O916" s="11"/>
      <c r="P916" s="11"/>
      <c r="Q916" s="1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>
      <c r="A917" s="11"/>
      <c r="B917" s="10"/>
      <c r="C917" s="15"/>
      <c r="D917" s="12"/>
      <c r="E917" s="16"/>
      <c r="F917" s="10"/>
      <c r="G917" s="10"/>
      <c r="H917" s="10"/>
      <c r="I917" s="11"/>
      <c r="J917" s="11"/>
      <c r="K917" s="11"/>
      <c r="L917" s="11"/>
      <c r="M917" s="10"/>
      <c r="N917" s="2"/>
      <c r="O917" s="11"/>
      <c r="P917" s="11"/>
      <c r="Q917" s="1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>
      <c r="A918" s="11"/>
      <c r="B918" s="10"/>
      <c r="C918" s="15"/>
 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"N918" s="2"/>
      <c r="O918" s="11"/>
      <c r="P918" s="11"/>
      <c r="Q918" s="1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>
      <c r="A919" s="11"/>
      <c r="B919" s="10"/>
      <c r="C919" s="15"/>
      <c r="D919" s="12"/>
      <c r="E919" s="16"/>
      <c r="F919" s="10"/>
      <c r="G919" s="10"/>
      <c r="H919" s="10"/>
      <c r="I919" s="11"/>
      <c r="J919" s="11"/>
      <c r="K919" s="11"/>
      <c r="L919" s="11"/>
      <c r="M919" s="10"/>
      <c r="N919" s="2"/>
      <c r="O919" s="11"/>
      <c r="P919" s="11"/>
      <c r="Q919" s="1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>
      <c r="A920" s="11"/>
      <c r="B920" s="10"/>
      <c r="C920" s="15"/>
      <c r="D920" s="12"/>
      <c r="E920" s="16"/>
      <c r="F920" s="10"/>
      <c r="G920" s="10"/>
      <c r="H920" s="10"/>
      <c r="I920" s="11"/>
      <c r="J920" s="11"/>
      <c r="K920" s="11"/>
      <c r="L920" s="11"/>
      <c r="M920" s="10"/>
      <c r="N920" s="2"/>
      <c r="O920" s="11"/>
      <c r="P920" s="11"/>
      <c r="Q920" s="1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>
      <c r="A921" s="11"/>
      <c r="B921" s="10"/>
      <c r="C921" s="15"/>
      <c r="D921" s="12"/>
      <c r="E921" s="16"/>
      <c r="F921" s="10"/>
      <c r="G921" s="10"/>
      <c r="H921" s="10"/>
      <c r="I921" s="11"/>
      <c r="J921" s="11"/>
      <c r="K921" s="11"/>
      <c r="L921" s="11"/>
      <c r="M921" s="10"/>
      <c r="N921" s="2"/>
      <c r="O921" s="11"/>
      <c r="P921" s="11"/>
      <c r="Q921" s="1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>
      <c r="A922" s="11"/>
      <c r="B922" s="10"/>
      <c r="C922" s="15"/>
      <c r="D922" s="12"/>
      <c r="E922" s="16"/>
      <c r="F922" s="10"/>
      <c r="G922" s="10"/>
      <c r="H922" s="10"/>
      <c r="I922" s="11"/>
      <c r="J922" s="11"/>
      <c r="K922" s="11"/>
      <c r="L922" s="11"/>
      <c r="M922" s="10"/>
      <c r="N922" s="2"/>
      <c r="O922" s="11"/>
      <c r="P922" s="11"/>
      <c r="Q922" s="1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>
      <c r="A923" s="11"/>
      <c r="B923" s="10"/>
      <c r="C923" s="15"/>
      <c r="D923" s="12"/>
      <c r="E923" s="16"/>
      <c r="F923" s="10"/>
      <c r="G923" s="10"/>
      <c r="H923" s="10"/>
      <c r="I923" s="11"/>
      <c r="J923" s="11"/>
      <c r="K923" s="11"/>
      <c r="L923" s="11"/>
      <c r="M923" s="10"/>
      <c r="N923" s="2"/>
      <c r="O923" s="11"/>
      <c r="P923" s="11"/>
      <c r="Q923" s="1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>
      <c r="A924" s="11"/>
      <c r="B924" s="10"/>
      <c r="C924" s="15"/>
      <c r="D924" s="12"/>
      <c r="E924" s="16"/>
      <c r="F924" s="10"/>
      <c r="G924" s="10"/>
      <c r="H924" s="10"/>
      <c r="I924" s="11"/>
      <c r="J924" s="11"/>
      <c r="K924" s="11"/>
      <c r="L924" s="11"/>
      <c r="M924" s="10"/>
      <c r="N924" s="2"/>
      <c r="O924" s="11"/>
      <c r="P924" s="11"/>
      <c r="Q924" s="1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>
      <c r="A925" s="11"/>
      <c r="B925" s="10"/>
      <c r="C925" s="15"/>
      <c r="D925" s="12"/>
      <c r="E925" s="16"/>
      <c r="F925" s="10"/>
      <c r="G925" s="10"/>
      <c r="H925" s="10"/>
      <c r="I925" s="11"/>
      <c r="J925" s="11"/>
      <c r="K925" s="11"/>
      <c r="L925" s="11"/>
      <c r="M925" s="10"/>
      <c r="N925" s="2"/>
      <c r="O925" s="11"/>
      <c r="P925" s="11"/>
      <c r="Q925" s="1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>
      <c r="A926" s="11"/>
      <c r="B926" s="10"/>
      <c r="C926" s="15"/>
      <c r="D926" s="12"/>
      <c r="E926" s="16"/>
      <c r="F926" s="10"/>
      <c r="G926" s="10"/>
      <c r="H926" s="10"/>
      <c r="I926" s="11"/>
      <c r="J926" s="11"/>
      <c r="K926" s="11"/>
      <c r="L926" s="11"/>
      <c r="M926" s="10"/>
      <c r="N926" s="2"/>
      <c r="O926" s="11"/>
      <c r="P926" s="11"/>
      <c r="Q926" s="1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>
      <c r="A927" s="11"/>
      <c r="B927" s="10"/>
      <c r="C927" s="15"/>
      <c r="D927" s="12"/>
      <c r="E927" s="16"/>
      <c r="F927" s="10"/>
      <c r="G927" s="10"/>
      <c r="H927" s="10"/>
      <c r="I927" s="11"/>
      <c r="J927" s="11"/>
      <c r="K927" s="11"/>
      <c r="L927" s="11"/>
      <c r="M927" s="10"/>
      <c r="N927" s="2"/>
      <c r="O927" s="11"/>
      <c r="P927" s="11"/>
      <c r="Q927" s="1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>
      <c r="A928" s="11"/>
      <c r="B928" s="10"/>
      <c r="C928" s="15"/>
      <c r="D928" s="12"/>
      <c r="E928" s="16"/>
      <c r="F928" s="10"/>
      <c r="G928" s="10"/>
      <c r="H928" s="10"/>
      <c r="I928" s="11"/>
      <c r="J928" s="11"/>
      <c r="K928" s="11"/>
      <c r="L928" s="11"/>
      <c r="M928" s="10"/>
      <c r="N928" s="2"/>
      <c r="O928" s="11"/>
      <c r="P928" s="11"/>
      <c r="Q928" s="11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>
      <c r="A929" s="11"/>
      <c r="B929" s="10"/>
      <c r="C929" s="15"/>
      <c r="D929" s="12"/>
      <c r="E929" s="16"/>
      <c r="F929" s="10"/>
      <c r="G929" s="10"/>
      <c r="H929" s="10"/>
      <c r="I929" s="11"/>
      <c r="J929" s="11"/>
      <c r="K929" s="11"/>
      <c r="L929" s="11"/>
      <c r="M929" s="10"/>
      <c r="N929" s="2"/>
      <c r="O929" s="11"/>
      <c r="P929" s="11"/>
      <c r="Q929" s="11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>
      <c r="A930" s="11"/>
      <c r="B930" s="10"/>
      <c r="C930" s="15"/>
      <c r="D930" s="12"/>
      <c r="E930" s="16"/>
      <c r="F930" s="10"/>
      <c r="G930" s="10"/>
      <c r="H930" s="10"/>
      <c r="I930" s="11"/>
      <c r="J930" s="11"/>
      <c r="K930" s="11"/>
      <c r="L930" s="11"/>
      <c r="M930" s="10"/>
      <c r="N930" s="2"/>
      <c r="O930" s="11"/>
      <c r="P930" s="11"/>
      <c r="Q930" s="11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>
      <c r="A931" s="11"/>
      <c r="B931" s="10"/>
      <c r="C931" s="15"/>
      <c r="D931" s="12"/>
      <c r="E931" s="16"/>
      <c r="F931" s="10"/>
      <c r="G931" s="10"/>
      <c r="H931" s="10"/>
      <c r="I931" s="11"/>
      <c r="J931" s="11"/>
      <c r="K931" s="11"/>
      <c r="L931" s="11"/>
      <c r="M931" s="10"/>
      <c r="N931" s="2"/>
      <c r="O931" s="11"/>
      <c r="P931" s="11"/>
      <c r="Q931" s="11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>
      <c r="A932" s="11"/>
      <c r="B932" s="10"/>
      <c r="C932" s="15"/>
      <c r="D932" s="12"/>
      <c r="E932" s="16"/>
      <c r="F932" s="10"/>
      <c r="G932" s="10"/>
      <c r="H932" s="10"/>
      <c r="I932" s="11"/>
      <c r="J932" s="11"/>
      <c r="K932" s="11"/>
      <c r="L932" s="11"/>
      <c r="M932" s="10"/>
      <c r="N932" s="2"/>
      <c r="O932" s="11"/>
      <c r="P932" s="11"/>
      <c r="Q932" s="11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>
      <c r="A933" s="11"/>
      <c r="B933" s="10"/>
      <c r="C933" s="15"/>
      <c r="D933" s="12"/>
      <c r="E933" s="16"/>
      <c r="F933" s="10"/>
      <c r="G933" s="10"/>
      <c r="H933" s="10"/>
      <c r="I933" s="11"/>
      <c r="J933" s="11"/>
      <c r="K933" s="11"/>
      <c r="L933" s="11"/>
      <c r="M933" s="10"/>
      <c r="N933" s="2"/>
      <c r="O933" s="11"/>
      <c r="P933" s="11"/>
      <c r="Q933" s="11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>
      <c r="A934" s="11"/>
      <c r="B934" s="10"/>
      <c r="C934" s="15"/>
      <c r="D934" s="12"/>
      <c r="E934" s="16"/>
      <c r="F934" s="10"/>
      <c r="G934" s="10"/>
      <c r="H934" s="10"/>
      <c r="I934" s="11"/>
      <c r="J934" s="11"/>
      <c r="K934" s="11"/>
      <c r="L934" s="11"/>
      <c r="M934" s="10"/>
      <c r="N934" s="2"/>
      <c r="O934" s="11"/>
      <c r="P934" s="11"/>
      <c r="Q934" s="11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>
      <c r="A935" s="11"/>
      <c r="B935" s="10"/>
      <c r="C935" s="15"/>
      <c r="D935" s="12"/>
      <c r="E935" s="16"/>
      <c r="F935" s="10"/>
      <c r="G935" s="10"/>
      <c r="H935" s="10"/>
      <c r="I935" s="11"/>
      <c r="J935" s="11"/>
      <c r="K935" s="11"/>
      <c r="L935" s="11"/>
      <c r="M935" s="10"/>
      <c r="N935" s="2"/>
      <c r="O935" s="11"/>
      <c r="P935" s="11"/>
      <c r="Q935" s="11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>
      <c r="A936" s="11"/>
      <c r="B936" s="10"/>
      <c r="C936" s="15"/>
      <c r="D936" s="12"/>
      <c r="E936" s="16"/>
      <c r="F936" s="10"/>
      <c r="G936" s="10"/>
      <c r="H936" s="10"/>
      <c r="I936" s="11"/>
      <c r="J936" s="11"/>
      <c r="K936" s="11"/>
      <c r="L936" s="11"/>
      <c r="M936" s="10"/>
      <c r="N936" s="2"/>
      <c r="O936" s="11"/>
      <c r="P936" s="11"/>
      <c r="Q936" s="11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>
      <c r="A937" s="11"/>
      <c r="B937" s="10"/>
      <c r="C937" s="15"/>
      <c r="D937" s="12"/>
      <c r="E937" s="16"/>
      <c r="F937" s="10"/>
      <c r="G937" s="10"/>
      <c r="H937" s="10"/>
      <c r="I937" s="11"/>
      <c r="J937" s="11"/>
      <c r="K937" s="11"/>
      <c r="L937" s="11"/>
      <c r="M937" s="10"/>
      <c r="N937" s="2"/>
      <c r="O937" s="11"/>
      <c r="P937" s="11"/>
      <c r="Q937" s="11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>
      <c r="A938" s="11"/>
      <c r="B938" s="10"/>
      <c r="C938" s="15"/>
      <c r="D938" s="12"/>
      <c r="E938" s="16"/>
      <c r="F938" s="10"/>
      <c r="G938" s="10"/>
      <c r="H938" s="10"/>
      <c r="I938" s="11"/>
      <c r="J938" s="11"/>
      <c r="K938" s="11"/>
      <c r="L938" s="11"/>
      <c r="M938" s="10"/>
      <c r="N938" s="2"/>
      <c r="O938" s="11"/>
      <c r="P938" s="11"/>
      <c r="Q938" s="11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>
      <c r="A939" s="11"/>
      <c r="B939" s="10"/>
      <c r="C939" s="15"/>
      <c r="D939" s="12"/>
      <c r="E939" s="16"/>
      <c r="F939" s="10"/>
      <c r="G939" s="10"/>
      <c r="H939" s="10"/>
      <c r="I939" s="11"/>
      <c r="J939" s="11"/>
      <c r="K939" s="11"/>
      <c r="L939" s="11"/>
      <c r="M939" s="10"/>
      <c r="N939" s="2"/>
      <c r="O939" s="11"/>
      <c r="P939" s="11"/>
      <c r="Q939" s="11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>
      <c r="A940" s="11"/>
      <c r="B940" s="10"/>
      <c r="C940" s="15"/>
      <c r="D940" s="12"/>
      <c r="E940" s="16"/>
      <c r="F940" s="10"/>
      <c r="G940" s="10"/>
      <c r="H940" s="10"/>
      <c r="I940" s="11"/>
      <c r="J940" s="11"/>
      <c r="K940" s="11"/>
      <c r="L940" s="11"/>
      <c r="M940" s="10"/>
      <c r="N940" s="2"/>
      <c r="O940" s="11"/>
      <c r="P940" s="11"/>
      <c r="Q940" s="11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>
      <c r="A941" s="11"/>
      <c r="B941" s="10"/>
      <c r="C941" s="15"/>
      <c r="D941" s="12"/>
      <c r="E941" s="16"/>
      <c r="F941" s="10"/>
      <c r="G941" s="10"/>
      <c r="H941" s="10"/>
      <c r="I941" s="11"/>
      <c r="J941" s="11"/>
      <c r="K941" s="11"/>
      <c r="L941" s="11"/>
      <c r="M941" s="10"/>
      <c r="N941" s="2"/>
      <c r="O941" s="11"/>
      <c r="P941" s="11"/>
      <c r="Q941" s="11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>
      <c r="A942" s="11"/>
      <c r="B942" s="10"/>
      <c r="C942" s="15"/>
      <c r="D942" s="12"/>
      <c r="E942" s="16"/>
      <c r="F942" s="10"/>
      <c r="G942" s="10"/>
      <c r="H942" s="10"/>
      <c r="I942" s="11"/>
      <c r="J942" s="11"/>
      <c r="K942" s="11"/>
      <c r="L942" s="11"/>
      <c r="M942" s="10"/>
      <c r="N942" s="2"/>
      <c r="O942" s="11"/>
      <c r="P942" s="11"/>
      <c r="Q942" s="11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>
      <c r="A943" s="11"/>
      <c r="B943" s="10"/>
      <c r="C943" s="15"/>
      <c r="D943" s="12"/>
      <c r="E943" s="16"/>
      <c r="F943" s="10"/>
      <c r="G943" s="10"/>
      <c r="H943" s="10"/>
      <c r="I943" s="11"/>
      <c r="J943" s="11"/>
      <c r="K943" s="11"/>
      <c r="L943" s="11"/>
      <c r="M943" s="10"/>
      <c r="N943" s="2"/>
      <c r="O943" s="11"/>
      <c r="P943" s="11"/>
      <c r="Q943" s="11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>
      <c r="A944" s="11"/>
      <c r="B944" s="10"/>
      <c r="C944" s="15"/>
      <c r="D944" s="12"/>
      <c r="E944" s="16"/>
      <c r="F944" s="10"/>
      <c r="G944" s="10"/>
      <c r="H944" s="10"/>
      <c r="I944" s="11"/>
      <c r="J944" s="11"/>
      <c r="K944" s="11"/>
      <c r="L944" s="11"/>
      <c r="M944" s="10"/>
      <c r="N944" s="2"/>
      <c r="O944" s="11"/>
      <c r="P944" s="11"/>
      <c r="Q944" s="11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>
      <c r="A945" s="11"/>
      <c r="B945" s="10"/>
      <c r="C945" s="15"/>
      <c r="D945" s="12"/>
      <c r="E945" s="16"/>
      <c r="F945" s="10"/>
      <c r="G945" s="10"/>
      <c r="H945" s="10"/>
      <c r="I945" s="11"/>
      <c r="J945" s="11"/>
      <c r="K945" s="11"/>
      <c r="L945" s="11"/>
      <c r="M945" s="10"/>
      <c r="N945" s="2"/>
      <c r="O945" s="11"/>
      <c r="P945" s="11"/>
      <c r="Q945" s="11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>
      <c r="A946" s="11"/>
      <c r="B946" s="10"/>
      <c r="C946" s="15"/>
      <c r="D946" s="12"/>
      <c r="E946" s="16"/>
      <c r="F946" s="10"/>
      <c r="G946" s="10"/>
      <c r="H946" s="10"/>
      <c r="I946" s="11"/>
      <c r="J946" s="11"/>
      <c r="K946" s="11"/>
      <c r="L946" s="11"/>
      <c r="M946" s="10"/>
      <c r="N946" s="2"/>
      <c r="O946" s="11"/>
      <c r="P946" s="11"/>
      <c r="Q946" s="11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>
      <c r="A947" s="11"/>
      <c r="B947" s="10"/>
      <c r="C947" s="15"/>
      <c r="D947" s="12"/>
      <c r="E947" s="16"/>
      <c r="F947" s="10"/>
      <c r="G947" s="10"/>
      <c r="H947" s="10"/>
      <c r="I947" s="11"/>
      <c r="J947" s="11"/>
      <c r="K947" s="11"/>
      <c r="L947" s="11"/>
      <c r="M947" s="10"/>
      <c r="N947" s="2"/>
      <c r="O947" s="11"/>
      <c r="P947" s="11"/>
      <c r="Q947" s="11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>
      <c r="A948" s="11"/>
      <c r="B948" s="10"/>
      <c r="C948" s="15"/>
      <c r="D948" s="12"/>
      <c r="E948" s="16"/>
      <c r="F948" s="10"/>
      <c r="G948" s="10"/>
      <c r="H948" s="10"/>
      <c r="I948" s="11"/>
      <c r="J948" s="11"/>
      <c r="K948" s="11"/>
      <c r="L948" s="11"/>
      <c r="M948" s="10"/>
      <c r="N948" s="2"/>
      <c r="O948" s="11"/>
      <c r="P948" s="11"/>
      <c r="Q948" s="11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>
      <c r="A949" s="11"/>
      <c r="B949" s="10"/>
      <c r="C949" s="15"/>
      <c r="D949" s="12"/>
      <c r="E949" s="16"/>
      <c r="F949" s="10"/>
      <c r="G949" s="10"/>
      <c r="H949" s="10"/>
      <c r="I949" s="11"/>
      <c r="J949" s="11"/>
      <c r="K949" s="11"/>
      <c r="L949" s="11"/>
      <c r="M949" s="10"/>
      <c r="N949" s="2"/>
      <c r="O949" s="11"/>
      <c r="P949" s="11"/>
      <c r="Q949" s="11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>
      <c r="A950" s="11"/>
      <c r="B950" s="10"/>
      <c r="C950" s="15"/>
      <c r="D950" s="12"/>
      <c r="E950" s="16"/>
      <c r="F950" s="10"/>
      <c r="G950" s="10"/>
      <c r="H950" s="10"/>
      <c r="I950" s="11"/>
      <c r="J950" s="11"/>
      <c r="K950" s="11"/>
      <c r="L950" s="11"/>
      <c r="M950" s="10"/>
      <c r="N950" s="2"/>
      <c r="O950" s="11"/>
      <c r="P950" s="11"/>
      <c r="Q950" s="11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>
      <c r="A951" s="11"/>
      <c r="B951" s="10"/>
      <c r="C951" s="15"/>
      <c r="D951" s="12"/>
      <c r="E951" s="16"/>
      <c r="F951" s="10"/>
      <c r="G951" s="10"/>
      <c r="H951" s="10"/>
      <c r="I951" s="11"/>
      <c r="J951" s="11"/>
      <c r="K951" s="11"/>
      <c r="L951" s="11"/>
      <c r="M951" s="10"/>
      <c r="N951" s="2"/>
      <c r="O951" s="11"/>
      <c r="P951" s="11"/>
      <c r="Q951" s="11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>
      <c r="A952" s="11"/>
      <c r="B952" s="10"/>
      <c r="C952" s="15"/>
      <c r="D952" s="12"/>
      <c r="E952" s="16"/>
      <c r="F952" s="10"/>
      <c r="G952" s="10"/>
      <c r="H952" s="10"/>
      <c r="I952" s="11"/>
      <c r="J952" s="11"/>
      <c r="K952" s="11"/>
      <c r="L952" s="11"/>
      <c r="M952" s="10"/>
      <c r="N952" s="2"/>
      <c r="O952" s="11"/>
      <c r="P952" s="11"/>
      <c r="Q952" s="11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>
      <c r="A953" s="11"/>
      <c r="B953" s="10"/>
      <c r="C953" s="15"/>
      <c r="D953" s="12"/>
      <c r="E953" s="16"/>
      <c r="F953" s="10"/>
      <c r="G953" s="10"/>
      <c r="H953" s="10"/>
      <c r="I953" s="11"/>
      <c r="J953" s="11"/>
      <c r="K953" s="11"/>
      <c r="L953" s="11"/>
      <c r="M953" s="10"/>
      <c r="N953" s="2"/>
      <c r="O953" s="11"/>
      <c r="P953" s="11"/>
      <c r="Q953" s="11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>
      <c r="A954" s="11"/>
      <c r="B954" s="10"/>
      <c r="C954" s="15"/>
      <c r="D954" s="12"/>
      <c r="E954" s="16"/>
      <c r="F954" s="10"/>
      <c r="G954" s="10"/>
      <c r="H954" s="10"/>
      <c r="I954" s="11"/>
      <c r="J954" s="11"/>
      <c r="K954" s="11"/>
      <c r="L954" s="11"/>
      <c r="M954" s="10"/>
      <c r="N954" s="2"/>
      <c r="O954" s="11"/>
      <c r="P954" s="11"/>
      <c r="Q954" s="11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>
      <c r="A955" s="11"/>
      <c r="B955" s="10"/>
      <c r="C955" s="15"/>
      <c r="D955" s="12"/>
      <c r="E955" s="16"/>
      <c r="F955" s="10"/>
      <c r="G955" s="10"/>
      <c r="H955" s="10"/>
      <c r="I955" s="11"/>
      <c r="J955" s="11"/>
      <c r="K955" s="11"/>
      <c r="L955" s="11"/>
      <c r="M955" s="10"/>
      <c r="N955" s="2"/>
      <c r="O955" s="11"/>
      <c r="P955" s="11"/>
      <c r="Q955" s="11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>
      <c r="A956" s="11"/>
      <c r="B956" s="10"/>
      <c r="C956" s="15"/>
      <c r="D956" s="12"/>
      <c r="E956" s="16"/>
      <c r="F956" s="10"/>
      <c r="G956" s="10"/>
      <c r="H956" s="10"/>
      <c r="I956" s="11"/>
      <c r="J956" s="11"/>
      <c r="K956" s="11"/>
      <c r="L956" s="11"/>
      <c r="M956" s="10"/>
      <c r="N956" s="2"/>
      <c r="O956" s="11"/>
      <c r="P956" s="11"/>
      <c r="Q956" s="11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>
      <c r="A957" s="11"/>
      <c r="B957" s="10"/>
      <c r="C957" s="15"/>
      <c r="D957" s="12"/>
      <c r="E957" s="16"/>
      <c r="F957" s="10"/>
      <c r="G957" s="10"/>
      <c r="H957" s="10"/>
      <c r="I957" s="11"/>
      <c r="J957" s="11"/>
      <c r="K957" s="11"/>
      <c r="L957" s="11"/>
      <c r="M957" s="10"/>
      <c r="N957" s="2"/>
      <c r="O957" s="11"/>
      <c r="P957" s="11"/>
      <c r="Q957" s="11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>
      <c r="A958" s="11"/>
      <c r="B958" s="10"/>
      <c r="C958" s="15"/>
      <c r="D958" s="12"/>
      <c r="E958" s="16"/>
      <c r="F958" s="10"/>
      <c r="G958" s="10"/>
      <c r="H958" s="10"/>
      <c r="I958" s="11"/>
      <c r="J958" s="11"/>
      <c r="K958" s="11"/>
      <c r="L958" s="11"/>
      <c r="M958" s="10"/>
      <c r="N958" s="2"/>
      <c r="O958" s="11"/>
      <c r="P958" s="11"/>
      <c r="Q958" s="11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>
      <c r="A959" s="11"/>
      <c r="B959" s="10"/>
      <c r="C959" s="15"/>
      <c r="D959" s="12"/>
      <c r="E959" s="16"/>
      <c r="F959" s="10"/>
      <c r="G959" s="10"/>
      <c r="H959" s="10"/>
      <c r="I959" s="11"/>
      <c r="J959" s="11"/>
      <c r="K959" s="11"/>
      <c r="L959" s="11"/>
      <c r="M959" s="10"/>
      <c r="N959" s="2"/>
      <c r="O959" s="11"/>
      <c r="P959" s="11"/>
      <c r="Q959" s="11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>
      <c r="A960" s="11"/>
      <c r="B960" s="10"/>
      <c r="C960" s="15"/>
      <c r="D960" s="12"/>
      <c r="E960" s="16"/>
      <c r="F960" s="10"/>
      <c r="G960" s="10"/>
      <c r="H960" s="10"/>
      <c r="I960" s="11"/>
      <c r="J960" s="11"/>
      <c r="K960" s="11"/>
      <c r="L960" s="11"/>
      <c r="M960" s="10"/>
      <c r="N960" s="2"/>
      <c r="O960" s="11"/>
      <c r="P960" s="11"/>
      <c r="Q960" s="11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>
      <c r="A961" s="11"/>
      <c r="B961" s="10"/>
      <c r="C961" s="15"/>
      <c r="D961" s="12"/>
      <c r="E961" s="16"/>
      <c r="F961" s="10"/>
      <c r="G961" s="10"/>
      <c r="H961" s="10"/>
      <c r="I961" s="11"/>
      <c r="J961" s="11"/>
      <c r="K961" s="11"/>
      <c r="L961" s="11"/>
      <c r="M961" s="10"/>
      <c r="N961" s="2"/>
      <c r="O961" s="11"/>
      <c r="P961" s="11"/>
      <c r="Q961" s="11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>
      <c r="A962" s="11"/>
      <c r="B962" s="10"/>
      <c r="C962" s="15"/>
      <c r="D962" s="12"/>
      <c r="E962" s="16"/>
      <c r="F962" s="10"/>
      <c r="G962" s="10"/>
      <c r="H962" s="10"/>
      <c r="I962" s="11"/>
      <c r="J962" s="11"/>
      <c r="K962" s="11"/>
      <c r="L962" s="11"/>
      <c r="M962" s="10"/>
      <c r="N962" s="2"/>
      <c r="O962" s="11"/>
      <c r="P962" s="11"/>
      <c r="Q962" s="11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>
      <c r="A963" s="11"/>
      <c r="B963" s="10"/>
      <c r="C963" s="15"/>
      <c r="D963" s="12"/>
      <c r="E963" s="16"/>
      <c r="F963" s="10"/>
      <c r="G963" s="10"/>
      <c r="H963" s="10"/>
      <c r="I963" s="11"/>
      <c r="J963" s="11"/>
      <c r="K963" s="11"/>
      <c r="L963" s="11"/>
      <c r="M963" s="10"/>
      <c r="N963" s="2"/>
      <c r="O963" s="11"/>
      <c r="P963" s="11"/>
      <c r="Q963" s="11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>
      <c r="A964" s="11"/>
      <c r="B964" s="10"/>
      <c r="C964" s="15"/>
      <c r="D964" s="12"/>
      <c r="E964" s="16"/>
      <c r="F964" s="10"/>
      <c r="G964" s="10"/>
      <c r="H964" s="10"/>
      <c r="I964" s="11"/>
      <c r="J964" s="11"/>
      <c r="K964" s="11"/>
      <c r="L964" s="11"/>
      <c r="M964" s="10"/>
      <c r="N964" s="2"/>
      <c r="O964" s="11"/>
      <c r="P964" s="11"/>
      <c r="Q964" s="11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>
      <c r="A965" s="11"/>
      <c r="B965" s="10"/>
      <c r="C965" s="15"/>
      <c r="D965" s="12"/>
      <c r="E965" s="16"/>
      <c r="F965" s="10"/>
      <c r="G965" s="10"/>
      <c r="H965" s="10"/>
      <c r="I965" s="11"/>
      <c r="J965" s="11"/>
      <c r="K965" s="11"/>
      <c r="L965" s="11"/>
      <c r="M965" s="10"/>
      <c r="N965" s="2"/>
      <c r="O965" s="11"/>
      <c r="P965" s="11"/>
      <c r="Q965" s="11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>
      <c r="A966" s="11"/>
      <c r="B966" s="10"/>
      <c r="C966" s="15"/>
      <c r="D966" s="12"/>
      <c r="E966" s="16"/>
      <c r="F966" s="10"/>
      <c r="G966" s="10"/>
      <c r="H966" s="10"/>
      <c r="I966" s="11"/>
      <c r="J966" s="11"/>
      <c r="K966" s="11"/>
      <c r="L966" s="11"/>
      <c r="M966" s="10"/>
      <c r="N966" s="2"/>
      <c r="O966" s="11"/>
      <c r="P966" s="11"/>
      <c r="Q966" s="11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>
      <c r="A967" s="11"/>
      <c r="B967" s="10"/>
      <c r="C967" s="15"/>
      <c r="D967" s="12"/>
      <c r="E967" s="16"/>
      <c r="F967" s="10"/>
      <c r="G967" s="10"/>
      <c r="H967" s="10"/>
      <c r="I967" s="11"/>
      <c r="J967" s="11"/>
      <c r="K967" s="11"/>
      <c r="L967" s="11"/>
      <c r="M967" s="10"/>
      <c r="N967" s="2"/>
      <c r="O967" s="11"/>
      <c r="P967" s="11"/>
      <c r="Q967" s="11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>
      <c r="A968" s="11"/>
      <c r="B968" s="10"/>
      <c r="C968" s="15"/>
      <c r="D968" s="12"/>
      <c r="E968" s="16"/>
      <c r="F968" s="10"/>
      <c r="G968" s="10"/>
      <c r="H968" s="10"/>
      <c r="I968" s="11"/>
      <c r="J968" s="11"/>
      <c r="K968" s="11"/>
      <c r="L968" s="11"/>
      <c r="M968" s="10"/>
      <c r="N968" s="2"/>
      <c r="O968" s="11"/>
      <c r="P968" s="11"/>
      <c r="Q968" s="11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>
      <c r="A969" s="11"/>
      <c r="B969" s="10"/>
      <c r="C969" s="15"/>
      <c r="D969" s="12"/>
      <c r="E969" s="16"/>
      <c r="F969" s="10"/>
      <c r="G969" s="10"/>
      <c r="H969" s="10"/>
      <c r="I969" s="11"/>
      <c r="J969" s="11"/>
      <c r="K969" s="11"/>
      <c r="L969" s="11"/>
      <c r="M969" s="10"/>
      <c r="N969" s="2"/>
      <c r="O969" s="11"/>
      <c r="P969" s="11"/>
      <c r="Q969" s="11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>
      <c r="A970" s="11"/>
      <c r="B970" s="10"/>
      <c r="C970" s="15"/>
      <c r="D970" s="12"/>
      <c r="E970" s="16"/>
      <c r="F970" s="10"/>
      <c r="G970" s="10"/>
      <c r="H970" s="10"/>
      <c r="I970" s="11"/>
      <c r="J970" s="11"/>
      <c r="K970" s="11"/>
      <c r="L970" s="11"/>
      <c r="M970" s="10"/>
      <c r="N970" s="2"/>
      <c r="O970" s="11"/>
      <c r="P970" s="11"/>
      <c r="Q970" s="11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>
      <c r="A971" s="11"/>
      <c r="B971" s="10"/>
      <c r="C971" s="15"/>
      <c r="D971" s="12"/>
      <c r="E971" s="16"/>
      <c r="F971" s="10"/>
      <c r="G971" s="10"/>
      <c r="H971" s="10"/>
      <c r="I971" s="11"/>
      <c r="J971" s="11"/>
      <c r="K971" s="11"/>
      <c r="L971" s="11"/>
      <c r="M971" s="10"/>
      <c r="N971" s="2"/>
      <c r="O971" s="11"/>
      <c r="P971" s="11"/>
      <c r="Q971" s="11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>
      <c r="A972" s="11"/>
      <c r="B972" s="10"/>
      <c r="C972" s="15"/>
      <c r="D972" s="12"/>
      <c r="E972" s="16"/>
      <c r="F972" s="10"/>
      <c r="G972" s="10"/>
      <c r="H972" s="10"/>
      <c r="I972" s="11"/>
      <c r="J972" s="11"/>
      <c r="K972" s="11"/>
      <c r="L972" s="11"/>
      <c r="M972" s="10"/>
      <c r="N972" s="2"/>
      <c r="O972" s="11"/>
      <c r="P972" s="11"/>
      <c r="Q972" s="11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>
      <c r="A973" s="11"/>
      <c r="B973" s="10"/>
      <c r="C973" s="15"/>
      <c r="D973" s="12"/>
      <c r="E973" s="16"/>
      <c r="F973" s="10"/>
      <c r="G973" s="10"/>
      <c r="H973" s="10"/>
      <c r="I973" s="11"/>
      <c r="J973" s="11"/>
      <c r="K973" s="11"/>
      <c r="L973" s="11"/>
      <c r="M973" s="10"/>
      <c r="N973" s="2"/>
      <c r="O973" s="11"/>
      <c r="P973" s="11"/>
      <c r="Q973" s="11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>
      <c r="A974" s="11"/>
      <c r="B974" s="10"/>
      <c r="C974" s="15"/>
      <c r="D974" s="12"/>
      <c r="E974" s="16"/>
      <c r="F974" s="10"/>
      <c r="G974" s="10"/>
      <c r="H974" s="10"/>
      <c r="I974" s="11"/>
      <c r="J974" s="11"/>
      <c r="K974" s="11"/>
      <c r="L974" s="11"/>
      <c r="M974" s="10"/>
      <c r="N974" s="2"/>
      <c r="O974" s="11"/>
      <c r="P974" s="11"/>
      <c r="Q974" s="11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>
      <c r="A975" s="11"/>
      <c r="B975" s="10"/>
      <c r="C975" s="15"/>
      <c r="D975" s="12"/>
      <c r="E975" s="16"/>
      <c r="F975" s="10"/>
      <c r="G975" s="10"/>
      <c r="H975" s="10"/>
      <c r="I975" s="11"/>
      <c r="J975" s="11"/>
      <c r="K975" s="11"/>
      <c r="L975" s="11"/>
      <c r="M975" s="10"/>
      <c r="N975" s="2"/>
      <c r="O975" s="11"/>
      <c r="P975" s="11"/>
      <c r="Q975" s="11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>
      <c r="A976" s="11"/>
      <c r="B976" s="10"/>
      <c r="C976" s="15"/>
      <c r="D976" s="12"/>
      <c r="E976" s="16"/>
      <c r="F976" s="10"/>
      <c r="G976" s="10"/>
      <c r="H976" s="10"/>
      <c r="I976" s="11"/>
      <c r="J976" s="11"/>
      <c r="K976" s="11"/>
      <c r="L976" s="11"/>
      <c r="M976" s="10"/>
      <c r="N976" s="2"/>
      <c r="O976" s="11"/>
      <c r="P976" s="11"/>
      <c r="Q976" s="11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>
      <c r="A977" s="11"/>
      <c r="B977" s="10"/>
      <c r="C977" s="15"/>
      <c r="D977" s="12"/>
      <c r="E977" s="16"/>
      <c r="F977" s="10"/>
      <c r="G977" s="10"/>
      <c r="H977" s="10"/>
      <c r="I977" s="11"/>
      <c r="J977" s="11"/>
      <c r="K977" s="11"/>
      <c r="L977" s="11"/>
      <c r="M977" s="10"/>
      <c r="N977" s="2"/>
      <c r="O977" s="11"/>
      <c r="P977" s="11"/>
      <c r="Q977" s="11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>
      <c r="A978" s="11"/>
      <c r="B978" s="10"/>
      <c r="C978" s="15"/>
      <c r="D978" s="12"/>
      <c r="E978" s="16"/>
      <c r="F978" s="10"/>
      <c r="G978" s="10"/>
      <c r="H978" s="10"/>
      <c r="I978" s="11"/>
      <c r="J978" s="11"/>
      <c r="K978" s="11"/>
      <c r="L978" s="11"/>
      <c r="M978" s="10"/>
      <c r="N978" s="2"/>
      <c r="O978" s="11"/>
      <c r="P978" s="11"/>
      <c r="Q978" s="11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>
      <c r="A979" s="11"/>
      <c r="B979" s="10"/>
      <c r="C979" s="15"/>
      <c r="D979" s="12"/>
      <c r="E979" s="16"/>
      <c r="F979" s="10"/>
      <c r="G979" s="10"/>
      <c r="H979" s="10"/>
      <c r="I979" s="11"/>
      <c r="J979" s="11"/>
      <c r="K979" s="11"/>
      <c r="L979" s="11"/>
      <c r="M979" s="10"/>
      <c r="N979" s="2"/>
      <c r="O979" s="11"/>
      <c r="P979" s="11"/>
      <c r="Q979" s="11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>
      <c r="A980" s="11"/>
      <c r="B980" s="10"/>
      <c r="C980" s="15"/>
      <c r="D980" s="12"/>
      <c r="E980" s="16"/>
      <c r="F980" s="10"/>
      <c r="G980" s="10"/>
      <c r="H980" s="10"/>
      <c r="I980" s="11"/>
      <c r="J980" s="11"/>
      <c r="K980" s="11"/>
      <c r="L980" s="11"/>
      <c r="M980" s="10"/>
      <c r="N980" s="2"/>
      <c r="O980" s="11"/>
      <c r="P980" s="11"/>
      <c r="Q980" s="11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>
      <c r="A981" s="11"/>
      <c r="B981" s="10"/>
      <c r="C981" s="15"/>
      <c r="D981" s="12"/>
      <c r="E981" s="16"/>
      <c r="F981" s="10"/>
      <c r="G981" s="10"/>
      <c r="H981" s="10"/>
      <c r="I981" s="11"/>
      <c r="J981" s="11"/>
      <c r="K981" s="11"/>
      <c r="L981" s="11"/>
      <c r="M981" s="10"/>
      <c r="N981" s="2"/>
      <c r="O981" s="11"/>
      <c r="P981" s="11"/>
      <c r="Q981" s="11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>
      <c r="A982" s="11"/>
      <c r="B982" s="10"/>
      <c r="C982" s="15"/>
      <c r="D982" s="12"/>
      <c r="E982" s="16"/>
      <c r="F982" s="10"/>
      <c r="G982" s="10"/>
      <c r="H982" s="10"/>
      <c r="I982" s="11"/>
      <c r="J982" s="11"/>
      <c r="K982" s="11"/>
      <c r="L982" s="11"/>
      <c r="M982" s="10"/>
      <c r="N982" s="2"/>
      <c r="O982" s="11"/>
      <c r="P982" s="11"/>
      <c r="Q982" s="11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>
      <c r="A983" s="11"/>
      <c r="B983" s="10"/>
      <c r="C983" s="15"/>
      <c r="D983" s="12"/>
      <c r="E983" s="16"/>
      <c r="F983" s="10"/>
      <c r="G983" s="10"/>
      <c r="H983" s="10"/>
      <c r="I983" s="11"/>
      <c r="J983" s="11"/>
      <c r="K983" s="11"/>
      <c r="L983" s="11"/>
      <c r="M983" s="10"/>
      <c r="N983" s="2"/>
      <c r="O983" s="11"/>
      <c r="P983" s="11"/>
      <c r="Q983" s="11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>
      <c r="A984" s="11"/>
      <c r="B984" s="10"/>
      <c r="C984" s="15"/>
      <c r="D984" s="12"/>
      <c r="E984" s="16"/>
      <c r="F984" s="10"/>
      <c r="G984" s="10"/>
      <c r="H984" s="10"/>
      <c r="I984" s="11"/>
      <c r="J984" s="11"/>
      <c r="K984" s="11"/>
      <c r="L984" s="11"/>
      <c r="M984" s="10"/>
      <c r="N984" s="2"/>
      <c r="O984" s="11"/>
      <c r="P984" s="11"/>
      <c r="Q984" s="11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>
      <c r="A985" s="11"/>
      <c r="B985" s="10"/>
      <c r="C985" s="15"/>
      <c r="D985" s="12"/>
      <c r="E985" s="16"/>
      <c r="F985" s="10"/>
      <c r="G985" s="10"/>
      <c r="H985" s="10"/>
      <c r="I985" s="11"/>
      <c r="J985" s="11"/>
      <c r="K985" s="11"/>
      <c r="L985" s="11"/>
      <c r="M985" s="10"/>
      <c r="N985" s="2"/>
      <c r="O985" s="11"/>
      <c r="P985" s="11"/>
      <c r="Q985" s="11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>
      <c r="A986" s="11"/>
      <c r="B986" s="10"/>
      <c r="C986" s="15"/>
      <c r="D986" s="12"/>
      <c r="E986" s="16"/>
      <c r="F986" s="10"/>
      <c r="G986" s="10"/>
      <c r="H986" s="10"/>
      <c r="I986" s="11"/>
      <c r="J986" s="11"/>
      <c r="K986" s="11"/>
      <c r="L986" s="11"/>
      <c r="M986" s="10"/>
      <c r="N986" s="2"/>
      <c r="O986" s="11"/>
      <c r="P986" s="11"/>
      <c r="Q986" s="11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>
      <c r="A987" s="11"/>
      <c r="B987" s="10"/>
      <c r="C987" s="15"/>
      <c r="D987" s="12"/>
      <c r="E987" s="16"/>
      <c r="F987" s="10"/>
      <c r="G987" s="10"/>
      <c r="H987" s="10"/>
      <c r="I987" s="11"/>
      <c r="J987" s="11"/>
      <c r="K987" s="11"/>
      <c r="L987" s="11"/>
      <c r="M987" s="10"/>
      <c r="N987" s="2"/>
      <c r="O987" s="11"/>
      <c r="P987" s="11"/>
      <c r="Q987" s="11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>
      <c r="A988" s="11"/>
      <c r="B988" s="10"/>
      <c r="C988" s="15"/>
      <c r="D988" s="12"/>
      <c r="E988" s="16"/>
      <c r="F988" s="10"/>
      <c r="G988" s="10"/>
      <c r="H988" s="10"/>
      <c r="I988" s="11"/>
      <c r="J988" s="11"/>
      <c r="K988" s="11"/>
      <c r="L988" s="11"/>
      <c r="M988" s="10"/>
      <c r="N988" s="2"/>
      <c r="O988" s="11"/>
      <c r="P988" s="11"/>
      <c r="Q988" s="11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>
      <c r="A989" s="11"/>
      <c r="B989" s="10"/>
      <c r="C989" s="15"/>
      <c r="D989" s="12"/>
      <c r="E989" s="16"/>
      <c r="F989" s="10"/>
      <c r="G989" s="10"/>
      <c r="H989" s="10"/>
      <c r="I989" s="11"/>
      <c r="J989" s="11"/>
      <c r="K989" s="11"/>
      <c r="L989" s="11"/>
      <c r="M989" s="10"/>
      <c r="N989" s="2"/>
      <c r="O989" s="11"/>
      <c r="P989" s="11"/>
      <c r="Q989" s="11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>
      <c r="A990" s="11"/>
      <c r="B990" s="10"/>
      <c r="C990" s="15"/>
      <c r="D990" s="12"/>
      <c r="E990" s="16"/>
      <c r="F990" s="10"/>
      <c r="G990" s="10"/>
      <c r="H990" s="10"/>
      <c r="I990" s="11"/>
      <c r="J990" s="11"/>
      <c r="K990" s="11"/>
      <c r="L990" s="11"/>
      <c r="M990" s="10"/>
      <c r="N990" s="2"/>
      <c r="O990" s="11"/>
      <c r="P990" s="11"/>
      <c r="Q990" s="11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>
      <c r="A991" s="11"/>
      <c r="B991" s="10"/>
      <c r="C991" s="15"/>
      <c r="D991" s="12"/>
      <c r="E991" s="16"/>
      <c r="F991" s="10"/>
      <c r="G991" s="10"/>
      <c r="H991" s="10"/>
      <c r="I991" s="11"/>
      <c r="J991" s="11"/>
      <c r="K991" s="11"/>
      <c r="L991" s="11"/>
      <c r="M991" s="10"/>
      <c r="N991" s="2"/>
      <c r="O991" s="11"/>
      <c r="P991" s="11"/>
      <c r="Q991" s="11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>
      <c r="A992" s="11"/>
      <c r="B992" s="10"/>
      <c r="C992" s="15"/>
      <c r="D992" s="12"/>
      <c r="E992" s="16"/>
      <c r="F992" s="10"/>
      <c r="G992" s="10"/>
      <c r="H992" s="10"/>
      <c r="I992" s="11"/>
      <c r="J992" s="11"/>
      <c r="K992" s="11"/>
      <c r="L992" s="11"/>
      <c r="M992" s="10"/>
      <c r="N992" s="2"/>
      <c r="O992" s="11"/>
      <c r="P992" s="11"/>
      <c r="Q992" s="11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>
      <c r="A993" s="11"/>
      <c r="B993" s="10"/>
      <c r="C993" s="15"/>
      <c r="D993" s="12"/>
      <c r="E993" s="16"/>
      <c r="F993" s="10"/>
      <c r="G993" s="10"/>
      <c r="H993" s="10"/>
      <c r="I993" s="11"/>
      <c r="J993" s="11"/>
      <c r="K993" s="11"/>
      <c r="L993" s="11"/>
      <c r="M993" s="10"/>
      <c r="N993" s="2"/>
      <c r="O993" s="11"/>
      <c r="P993" s="11"/>
      <c r="Q993" s="11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>
      <c r="A994" s="11"/>
      <c r="B994" s="10"/>
      <c r="C994" s="15"/>
      <c r="D994" s="12"/>
      <c r="E994" s="16"/>
      <c r="F994" s="10"/>
      <c r="G994" s="10"/>
      <c r="H994" s="10"/>
      <c r="I994" s="11"/>
      <c r="J994" s="11"/>
      <c r="K994" s="11"/>
      <c r="L994" s="11"/>
      <c r="M994" s="10"/>
      <c r="N994" s="2"/>
      <c r="O994" s="11"/>
      <c r="P994" s="11"/>
      <c r="Q994" s="11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>
      <c r="A995" s="11"/>
      <c r="B995" s="10"/>
      <c r="C995" s="15"/>
      <c r="D995" s="12"/>
      <c r="E995" s="16"/>
      <c r="F995" s="10"/>
      <c r="G995" s="10"/>
      <c r="H995" s="10"/>
      <c r="I995" s="11"/>
      <c r="J995" s="11"/>
      <c r="K995" s="11"/>
      <c r="L995" s="11"/>
      <c r="M995" s="10"/>
      <c r="N995" s="2"/>
      <c r="O995" s="11"/>
      <c r="P995" s="11"/>
      <c r="Q995" s="11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>
      <c r="A996" s="11"/>
      <c r="B996" s="10"/>
      <c r="C996" s="15"/>
      <c r="D996" s="12"/>
      <c r="E996" s="16"/>
      <c r="F996" s="10"/>
      <c r="G996" s="10"/>
      <c r="H996" s="10"/>
      <c r="I996" s="11"/>
      <c r="J996" s="11"/>
      <c r="K996" s="11"/>
      <c r="L996" s="11"/>
      <c r="M996" s="10"/>
      <c r="N996" s="2"/>
      <c r="O996" s="11"/>
      <c r="P996" s="11"/>
      <c r="Q996" s="11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>
      <c r="A997" s="11"/>
      <c r="B997" s="10"/>
      <c r="C997" s="15"/>
      <c r="D997" s="12"/>
      <c r="E997" s="16"/>
      <c r="F997" s="10"/>
      <c r="G997" s="10"/>
      <c r="H997" s="10"/>
      <c r="I997" s="11"/>
      <c r="J997" s="11"/>
      <c r="K997" s="11"/>
      <c r="L997" s="11"/>
      <c r="M997" s="10"/>
      <c r="N997" s="2"/>
      <c r="O997" s="11"/>
      <c r="P997" s="11"/>
      <c r="Q997" s="11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>
      <c r="A998" s="11"/>
      <c r="B998" s="10"/>
      <c r="C998" s="15"/>
      <c r="D998" s="12"/>
      <c r="E998" s="16"/>
      <c r="F998" s="10"/>
      <c r="G998" s="10"/>
      <c r="H998" s="10"/>
      <c r="I998" s="11"/>
      <c r="J998" s="11"/>
      <c r="K998" s="11"/>
      <c r="L998" s="11"/>
      <c r="M998" s="10"/>
      <c r="N998" s="2"/>
      <c r="O998" s="11"/>
      <c r="P998" s="11"/>
      <c r="Q998" s="11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>
      <c r="A999" s="11"/>
      <c r="B999" s="10"/>
      <c r="C999" s="15"/>
      <c r="D999" s="12"/>
      <c r="E999" s="16"/>
      <c r="F999" s="10"/>
      <c r="G999" s="10"/>
      <c r="H999" s="10"/>
      <c r="I999" s="11"/>
      <c r="J999" s="11"/>
      <c r="K999" s="11"/>
      <c r="L999" s="11"/>
      <c r="M999" s="10"/>
      <c r="N999" s="2"/>
      <c r="O999" s="11"/>
      <c r="P999" s="11"/>
      <c r="Q999" s="11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>
      <c r="A1000" s="11"/>
      <c r="B1000" s="10"/>
      <c r="C1000" s="15"/>
      <c r="D1000" s="12"/>
      <c r="E1000" s="16"/>
      <c r="F1000" s="10"/>
      <c r="G1000" s="10"/>
      <c r="H1000" s="10"/>
      <c r="I1000" s="11"/>
      <c r="J1000" s="11"/>
      <c r="K1000" s="11"/>
      <c r="L1000" s="11"/>
      <c r="M1000" s="10"/>
      <c r="N1000" s="2"/>
      <c r="O1000" s="11"/>
      <c r="P1000" s="11"/>
      <c r="Q1000" s="11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</row>
    <row r="1001">
      <c r="A1001" s="11"/>
      <c r="B1001" s="10"/>
      <c r="C1001" s="15"/>
      <c r="D1001" s="12"/>
      <c r="E1001" s="16"/>
      <c r="F1001" s="10"/>
      <c r="G1001" s="10"/>
      <c r="H1001" s="10"/>
      <c r="I1001" s="11"/>
      <c r="J1001" s="11"/>
      <c r="K1001" s="11"/>
      <c r="L1001" s="11"/>
      <c r="M1001" s="10"/>
      <c r="N1001" s="2"/>
      <c r="O1001" s="11"/>
      <c r="P1001" s="11"/>
      <c r="Q1001" s="11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</row>
    <row r="1002">
      <c r="A1002" s="11"/>
      <c r="B1002" s="10"/>
      <c r="C1002" s="15"/>
      <c r="D1002" s="12"/>
      <c r="E1002" s="16"/>
      <c r="F1002" s="10"/>
      <c r="G1002" s="10"/>
      <c r="H1002" s="10"/>
      <c r="I1002" s="11"/>
      <c r="J1002" s="11"/>
      <c r="K1002" s="11"/>
      <c r="L1002" s="11"/>
      <c r="M1002" s="10"/>
      <c r="N1002" s="2"/>
      <c r="O1002" s="11"/>
      <c r="P1002" s="11"/>
      <c r="Q1002" s="11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</row>
    <row r="1003">
      <c r="A1003" s="11"/>
      <c r="B1003" s="10"/>
      <c r="C1003" s="15"/>
      <c r="D1003" s="12"/>
      <c r="E1003" s="16"/>
      <c r="F1003" s="10"/>
      <c r="G1003" s="10"/>
      <c r="H1003" s="10"/>
      <c r="I1003" s="11"/>
      <c r="J1003" s="11"/>
      <c r="K1003" s="11"/>
      <c r="L1003" s="11"/>
      <c r="M1003" s="10"/>
      <c r="N1003" s="2"/>
      <c r="O1003" s="11"/>
      <c r="P1003" s="11"/>
      <c r="Q1003" s="11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</row>
    <row r="1004">
      <c r="A1004" s="11"/>
      <c r="B1004" s="10"/>
      <c r="C1004" s="15"/>
      <c r="D1004" s="12"/>
      <c r="E1004" s="16"/>
      <c r="F1004" s="10"/>
      <c r="G1004" s="10"/>
      <c r="H1004" s="10"/>
      <c r="I1004" s="11"/>
      <c r="J1004" s="11"/>
      <c r="K1004" s="11"/>
      <c r="L1004" s="11"/>
      <c r="M1004" s="10"/>
      <c r="N1004" s="2"/>
      <c r="O1004" s="11"/>
      <c r="P1004" s="11"/>
      <c r="Q1004" s="11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</row>
    <row r="1005">
      <c r="A1005" s="11"/>
      <c r="B1005" s="10"/>
      <c r="C1005" s="15"/>
      <c r="D1005" s="12"/>
      <c r="E1005" s="16"/>
      <c r="F1005" s="10"/>
      <c r="G1005" s="10"/>
      <c r="H1005" s="10"/>
      <c r="I1005" s="11"/>
      <c r="J1005" s="11"/>
      <c r="K1005" s="11"/>
      <c r="L1005" s="11"/>
      <c r="M1005" s="10"/>
      <c r="N1005" s="2"/>
      <c r="O1005" s="11"/>
      <c r="P1005" s="11"/>
      <c r="Q1005" s="11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</row>
    <row r="1006">
      <c r="A1006" s="11"/>
      <c r="B1006" s="10"/>
      <c r="C1006" s="15"/>
      <c r="D1006" s="12"/>
      <c r="E1006" s="16"/>
      <c r="F1006" s="10"/>
      <c r="G1006" s="10"/>
      <c r="H1006" s="10"/>
      <c r="I1006" s="11"/>
      <c r="J1006" s="11"/>
      <c r="K1006" s="11"/>
      <c r="L1006" s="11"/>
      <c r="M1006" s="10"/>
      <c r="N1006" s="2"/>
      <c r="O1006" s="11"/>
      <c r="P1006" s="11"/>
      <c r="Q1006" s="11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</row>
    <row r="1007">
      <c r="A1007" s="11"/>
      <c r="B1007" s="10"/>
      <c r="C1007" s="15"/>
      <c r="D1007" s="12"/>
      <c r="E1007" s="16"/>
      <c r="F1007" s="10"/>
      <c r="G1007" s="10"/>
      <c r="H1007" s="10"/>
      <c r="I1007" s="11"/>
      <c r="J1007" s="11"/>
      <c r="K1007" s="11"/>
      <c r="L1007" s="11"/>
      <c r="M1007" s="10"/>
      <c r="N1007" s="2"/>
      <c r="O1007" s="11"/>
      <c r="P1007" s="11"/>
      <c r="Q1007" s="11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</row>
    <row r="1008">
      <c r="A1008" s="11"/>
      <c r="B1008" s="10"/>
      <c r="C1008" s="15"/>
      <c r="D1008" s="12"/>
      <c r="E1008" s="16"/>
      <c r="F1008" s="10"/>
      <c r="G1008" s="10"/>
      <c r="H1008" s="10"/>
      <c r="I1008" s="11"/>
      <c r="J1008" s="11"/>
      <c r="K1008" s="11"/>
      <c r="L1008" s="11"/>
      <c r="M1008" s="10"/>
      <c r="N1008" s="2"/>
      <c r="O1008" s="11"/>
      <c r="P1008" s="11"/>
      <c r="Q1008" s="11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</row>
    <row r="1009">
      <c r="A1009" s="11"/>
      <c r="B1009" s="10"/>
      <c r="C1009" s="15"/>
      <c r="D1009" s="12"/>
      <c r="E1009" s="16"/>
      <c r="F1009" s="10"/>
      <c r="G1009" s="10"/>
      <c r="H1009" s="10"/>
      <c r="I1009" s="11"/>
      <c r="J1009" s="11"/>
      <c r="K1009" s="11"/>
      <c r="L1009" s="11"/>
      <c r="M1009" s="10"/>
      <c r="N1009" s="2"/>
      <c r="O1009" s="11"/>
      <c r="P1009" s="11"/>
      <c r="Q1009" s="11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</row>
    <row r="1010">
      <c r="A1010" s="11"/>
      <c r="B1010" s="10"/>
      <c r="C1010" s="15"/>
      <c r="D1010" s="12"/>
      <c r="E1010" s="16"/>
      <c r="F1010" s="10"/>
      <c r="G1010" s="10"/>
      <c r="H1010" s="10"/>
      <c r="I1010" s="11"/>
      <c r="J1010" s="11"/>
      <c r="K1010" s="11"/>
      <c r="L1010" s="11"/>
      <c r="M1010" s="10"/>
      <c r="N1010" s="2"/>
      <c r="O1010" s="11"/>
      <c r="P1010" s="11"/>
      <c r="Q1010" s="11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</row>
    <row r="1011">
      <c r="A1011" s="11"/>
      <c r="B1011" s="10"/>
      <c r="C1011" s="15"/>
      <c r="D1011" s="12"/>
      <c r="E1011" s="16"/>
      <c r="F1011" s="10"/>
      <c r="G1011" s="10"/>
      <c r="H1011" s="10"/>
      <c r="I1011" s="11"/>
      <c r="J1011" s="11"/>
      <c r="K1011" s="11"/>
      <c r="L1011" s="11"/>
      <c r="M1011" s="10"/>
      <c r="N1011" s="2"/>
      <c r="O1011" s="11"/>
      <c r="P1011" s="11"/>
      <c r="Q1011" s="11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</row>
    <row r="1012">
      <c r="A1012" s="11"/>
      <c r="B1012" s="10"/>
      <c r="C1012" s="15"/>
      <c r="D1012" s="12"/>
      <c r="E1012" s="16"/>
      <c r="F1012" s="10"/>
      <c r="G1012" s="10"/>
      <c r="H1012" s="10"/>
      <c r="I1012" s="11"/>
      <c r="J1012" s="11"/>
      <c r="K1012" s="11"/>
      <c r="L1012" s="11"/>
      <c r="M1012" s="10"/>
      <c r="N1012" s="2"/>
      <c r="O1012" s="11"/>
      <c r="P1012" s="11"/>
      <c r="Q1012" s="11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</row>
    <row r="1013">
      <c r="A1013" s="11"/>
      <c r="B1013" s="10"/>
      <c r="C1013" s="15"/>
      <c r="D1013" s="12"/>
      <c r="E1013" s="16"/>
      <c r="F1013" s="10"/>
      <c r="G1013" s="10"/>
      <c r="H1013" s="10"/>
      <c r="I1013" s="11"/>
      <c r="J1013" s="11"/>
      <c r="K1013" s="11"/>
      <c r="L1013" s="11"/>
      <c r="M1013" s="10"/>
      <c r="N1013" s="2"/>
      <c r="O1013" s="11"/>
      <c r="P1013" s="11"/>
      <c r="Q1013" s="11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</row>
    <row r="1014">
      <c r="A1014" s="11"/>
      <c r="B1014" s="10"/>
      <c r="C1014" s="15"/>
      <c r="D1014" s="12"/>
      <c r="E1014" s="16"/>
      <c r="F1014" s="10"/>
      <c r="G1014" s="10"/>
      <c r="H1014" s="10"/>
      <c r="I1014" s="11"/>
      <c r="J1014" s="11"/>
      <c r="K1014" s="11"/>
      <c r="L1014" s="11"/>
      <c r="M1014" s="10"/>
      <c r="N1014" s="2"/>
      <c r="O1014" s="11"/>
      <c r="P1014" s="11"/>
      <c r="Q1014" s="11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</row>
    <row r="1015">
      <c r="A1015" s="11"/>
      <c r="B1015" s="10"/>
      <c r="C1015" s="15"/>
      <c r="D1015" s="12"/>
      <c r="E1015" s="16"/>
      <c r="F1015" s="10"/>
      <c r="G1015" s="10"/>
      <c r="H1015" s="10"/>
      <c r="I1015" s="11"/>
      <c r="J1015" s="11"/>
      <c r="K1015" s="11"/>
      <c r="L1015" s="11"/>
      <c r="M1015" s="10"/>
      <c r="N1015" s="2"/>
      <c r="O1015" s="11"/>
      <c r="P1015" s="11"/>
      <c r="Q1015" s="11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</row>
    <row r="1016">
      <c r="A1016" s="11"/>
      <c r="B1016" s="10"/>
      <c r="C1016" s="15"/>
      <c r="D1016" s="12"/>
      <c r="E1016" s="16"/>
      <c r="F1016" s="10"/>
      <c r="G1016" s="10"/>
      <c r="H1016" s="10"/>
      <c r="I1016" s="11"/>
      <c r="J1016" s="11"/>
      <c r="K1016" s="11"/>
      <c r="L1016" s="11"/>
      <c r="M1016" s="10"/>
      <c r="N1016" s="2"/>
      <c r="O1016" s="11"/>
      <c r="P1016" s="11"/>
      <c r="Q1016" s="11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</row>
    <row r="1017">
      <c r="A1017" s="11"/>
      <c r="B1017" s="10"/>
      <c r="C1017" s="15"/>
      <c r="D1017" s="12"/>
      <c r="E1017" s="16"/>
      <c r="F1017" s="10"/>
      <c r="G1017" s="10"/>
      <c r="H1017" s="10"/>
      <c r="I1017" s="11"/>
      <c r="J1017" s="11"/>
      <c r="K1017" s="11"/>
      <c r="L1017" s="11"/>
      <c r="M1017" s="10"/>
      <c r="N1017" s="2"/>
      <c r="O1017" s="11"/>
      <c r="P1017" s="11"/>
      <c r="Q1017" s="11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</row>
    <row r="1018">
      <c r="A1018" s="11"/>
      <c r="B1018" s="10"/>
      <c r="C1018" s="15"/>
      <c r="D1018" s="12"/>
      <c r="E1018" s="16"/>
      <c r="F1018" s="10"/>
      <c r="G1018" s="10"/>
      <c r="H1018" s="10"/>
      <c r="I1018" s="11"/>
      <c r="J1018" s="11"/>
      <c r="K1018" s="11"/>
      <c r="L1018" s="11"/>
      <c r="M1018" s="10"/>
      <c r="N1018" s="2"/>
      <c r="O1018" s="11"/>
      <c r="P1018" s="11"/>
      <c r="Q1018" s="11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</row>
    <row r="1019">
      <c r="A1019" s="11"/>
      <c r="B1019" s="10"/>
      <c r="C1019" s="15"/>
      <c r="D1019" s="12"/>
      <c r="E1019" s="16"/>
      <c r="F1019" s="10"/>
      <c r="G1019" s="10"/>
      <c r="H1019" s="10"/>
      <c r="I1019" s="11"/>
      <c r="J1019" s="11"/>
      <c r="K1019" s="11"/>
      <c r="L1019" s="11"/>
      <c r="M1019" s="10"/>
      <c r="N1019" s="2"/>
      <c r="O1019" s="11"/>
      <c r="P1019" s="11"/>
      <c r="Q1019" s="11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</row>
    <row r="1020">
      <c r="A1020" s="11"/>
      <c r="B1020" s="10"/>
      <c r="C1020" s="15"/>
      <c r="D1020" s="12"/>
      <c r="E1020" s="16"/>
      <c r="F1020" s="10"/>
      <c r="G1020" s="10"/>
      <c r="H1020" s="10"/>
      <c r="I1020" s="11"/>
      <c r="J1020" s="11"/>
      <c r="K1020" s="11"/>
      <c r="L1020" s="11"/>
      <c r="M1020" s="10"/>
      <c r="N1020" s="2"/>
      <c r="O1020" s="11"/>
      <c r="P1020" s="11"/>
      <c r="Q1020" s="11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</row>
    <row r="1021">
      <c r="A1021" s="11"/>
      <c r="B1021" s="10"/>
      <c r="C1021" s="15"/>
      <c r="D1021" s="12"/>
      <c r="E1021" s="16"/>
      <c r="F1021" s="10"/>
      <c r="G1021" s="10"/>
      <c r="H1021" s="10"/>
      <c r="I1021" s="11"/>
      <c r="J1021" s="11"/>
      <c r="K1021" s="11"/>
      <c r="L1021" s="11"/>
      <c r="M1021" s="10"/>
      <c r="N1021" s="2"/>
      <c r="O1021" s="11"/>
      <c r="P1021" s="11"/>
      <c r="Q1021" s="11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</row>
    <row r="1022">
      <c r="A1022" s="11"/>
      <c r="B1022" s="10"/>
      <c r="C1022" s="15"/>
      <c r="D1022" s="12"/>
      <c r="E1022" s="16"/>
      <c r="F1022" s="10"/>
      <c r="G1022" s="10"/>
      <c r="H1022" s="10"/>
      <c r="I1022" s="11"/>
      <c r="J1022" s="11"/>
      <c r="K1022" s="11"/>
      <c r="L1022" s="11"/>
      <c r="M1022" s="10"/>
      <c r="N1022" s="2"/>
      <c r="O1022" s="11"/>
      <c r="P1022" s="11"/>
      <c r="Q1022" s="11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</row>
    <row r="1023">
      <c r="A1023" s="11"/>
      <c r="B1023" s="10"/>
      <c r="C1023" s="15"/>
      <c r="D1023" s="12"/>
      <c r="E1023" s="16"/>
      <c r="F1023" s="10"/>
      <c r="G1023" s="10"/>
      <c r="H1023" s="10"/>
      <c r="I1023" s="11"/>
      <c r="J1023" s="11"/>
      <c r="K1023" s="11"/>
      <c r="L1023" s="11"/>
      <c r="M1023" s="10"/>
      <c r="N1023" s="2"/>
      <c r="O1023" s="11"/>
      <c r="P1023" s="11"/>
      <c r="Q1023" s="11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</row>
    <row r="1024">
      <c r="A1024" s="11"/>
      <c r="B1024" s="10"/>
      <c r="C1024" s="15"/>
      <c r="D1024" s="12"/>
      <c r="E1024" s="16"/>
      <c r="F1024" s="10"/>
      <c r="G1024" s="10"/>
      <c r="H1024" s="10"/>
      <c r="I1024" s="11"/>
      <c r="J1024" s="11"/>
      <c r="K1024" s="11"/>
      <c r="L1024" s="11"/>
      <c r="M1024" s="10"/>
      <c r="N1024" s="2"/>
      <c r="O1024" s="11"/>
      <c r="P1024" s="11"/>
      <c r="Q1024" s="11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</row>
    <row r="1025">
      <c r="A1025" s="11"/>
      <c r="B1025" s="10"/>
      <c r="C1025" s="15"/>
      <c r="D1025" s="12"/>
      <c r="E1025" s="16"/>
      <c r="F1025" s="10"/>
      <c r="G1025" s="10"/>
      <c r="H1025" s="10"/>
      <c r="I1025" s="11"/>
      <c r="J1025" s="11"/>
      <c r="K1025" s="11"/>
      <c r="L1025" s="11"/>
      <c r="M1025" s="10"/>
      <c r="N1025" s="2"/>
      <c r="O1025" s="11"/>
      <c r="P1025" s="11"/>
      <c r="Q1025" s="11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</row>
    <row r="1026">
      <c r="A1026" s="11"/>
      <c r="B1026" s="10"/>
      <c r="C1026" s="15"/>
      <c r="D1026" s="12"/>
      <c r="E1026" s="16"/>
      <c r="F1026" s="10"/>
      <c r="G1026" s="10"/>
      <c r="H1026" s="10"/>
      <c r="I1026" s="11"/>
      <c r="J1026" s="11"/>
      <c r="K1026" s="11"/>
      <c r="L1026" s="11"/>
      <c r="M1026" s="10"/>
      <c r="N1026" s="2"/>
      <c r="O1026" s="11"/>
      <c r="P1026" s="11"/>
      <c r="Q1026" s="11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</row>
    <row r="1027">
      <c r="A1027" s="11"/>
      <c r="B1027" s="10"/>
      <c r="C1027" s="15"/>
      <c r="D1027" s="12"/>
      <c r="E1027" s="16"/>
      <c r="F1027" s="10"/>
      <c r="G1027" s="10"/>
      <c r="H1027" s="10"/>
      <c r="I1027" s="11"/>
      <c r="J1027" s="11"/>
      <c r="K1027" s="11"/>
      <c r="L1027" s="11"/>
      <c r="M1027" s="10"/>
      <c r="N1027" s="2"/>
      <c r="O1027" s="11"/>
      <c r="P1027" s="11"/>
      <c r="Q1027" s="11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</row>
    <row r="1028">
      <c r="A1028" s="11"/>
      <c r="B1028" s="10"/>
      <c r="C1028" s="15"/>
      <c r="D1028" s="12"/>
      <c r="E1028" s="16"/>
      <c r="F1028" s="10"/>
      <c r="G1028" s="10"/>
      <c r="H1028" s="10"/>
      <c r="I1028" s="11"/>
      <c r="J1028" s="11"/>
      <c r="K1028" s="11"/>
      <c r="L1028" s="11"/>
      <c r="M1028" s="10"/>
      <c r="N1028" s="2"/>
      <c r="O1028" s="11"/>
      <c r="P1028" s="11"/>
      <c r="Q1028" s="11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</row>
    <row r="1029">
      <c r="A1029" s="11"/>
      <c r="B1029" s="10"/>
      <c r="C1029" s="15"/>
      <c r="D1029" s="12"/>
      <c r="E1029" s="16"/>
      <c r="F1029" s="10"/>
      <c r="G1029" s="10"/>
      <c r="H1029" s="10"/>
      <c r="I1029" s="11"/>
      <c r="J1029" s="11"/>
      <c r="K1029" s="11"/>
      <c r="L1029" s="11"/>
      <c r="M1029" s="10"/>
      <c r="N1029" s="2"/>
      <c r="O1029" s="11"/>
      <c r="P1029" s="11"/>
      <c r="Q1029" s="11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</row>
    <row r="1030">
      <c r="A1030" s="11"/>
      <c r="B1030" s="10"/>
      <c r="C1030" s="15"/>
      <c r="D1030" s="12"/>
      <c r="E1030" s="16"/>
      <c r="F1030" s="10"/>
      <c r="G1030" s="10"/>
      <c r="H1030" s="10"/>
      <c r="I1030" s="11"/>
      <c r="J1030" s="11"/>
      <c r="K1030" s="11"/>
      <c r="L1030" s="11"/>
      <c r="M1030" s="10"/>
      <c r="N1030" s="2"/>
      <c r="O1030" s="11"/>
      <c r="P1030" s="11"/>
      <c r="Q1030" s="11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</row>
    <row r="1031">
      <c r="A1031" s="11"/>
      <c r="B1031" s="10"/>
      <c r="C1031" s="15"/>
      <c r="D1031" s="12"/>
      <c r="E1031" s="16"/>
      <c r="F1031" s="10"/>
      <c r="G1031" s="10"/>
      <c r="H1031" s="10"/>
      <c r="I1031" s="11"/>
      <c r="J1031" s="11"/>
      <c r="K1031" s="11"/>
      <c r="L1031" s="11"/>
      <c r="M1031" s="10"/>
      <c r="N1031" s="2"/>
      <c r="O1031" s="11"/>
      <c r="P1031" s="11"/>
      <c r="Q1031" s="11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</row>
    <row r="1032">
      <c r="A1032" s="11"/>
      <c r="B1032" s="10"/>
      <c r="C1032" s="15"/>
      <c r="D1032" s="12"/>
      <c r="E1032" s="16"/>
      <c r="F1032" s="10"/>
      <c r="G1032" s="10"/>
      <c r="H1032" s="10"/>
      <c r="I1032" s="11"/>
      <c r="J1032" s="11"/>
      <c r="K1032" s="11"/>
      <c r="L1032" s="11"/>
      <c r="M1032" s="10"/>
      <c r="N1032" s="2"/>
      <c r="O1032" s="11"/>
      <c r="P1032" s="11"/>
      <c r="Q1032" s="11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</row>
    <row r="1033">
      <c r="A1033" s="11"/>
      <c r="B1033" s="10"/>
      <c r="C1033" s="15"/>
      <c r="D1033" s="12"/>
      <c r="E1033" s="16"/>
      <c r="F1033" s="10"/>
      <c r="G1033" s="10"/>
      <c r="H1033" s="10"/>
      <c r="I1033" s="11"/>
      <c r="J1033" s="11"/>
      <c r="K1033" s="11"/>
      <c r="L1033" s="11"/>
      <c r="M1033" s="10"/>
      <c r="N1033" s="2"/>
      <c r="O1033" s="11"/>
      <c r="P1033" s="11"/>
      <c r="Q1033" s="11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</row>
    <row r="1034">
      <c r="A1034" s="11"/>
      <c r="B1034" s="10"/>
      <c r="C1034" s="15"/>
      <c r="D1034" s="12"/>
      <c r="E1034" s="16"/>
      <c r="F1034" s="10"/>
      <c r="G1034" s="10"/>
      <c r="H1034" s="10"/>
      <c r="I1034" s="11"/>
      <c r="J1034" s="11"/>
      <c r="K1034" s="11"/>
      <c r="L1034" s="11"/>
      <c r="M1034" s="10"/>
      <c r="N1034" s="2"/>
      <c r="O1034" s="11"/>
      <c r="P1034" s="11"/>
      <c r="Q1034" s="11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</row>
    <row r="1035">
      <c r="A1035" s="11"/>
      <c r="B1035" s="10"/>
      <c r="C1035" s="15"/>
      <c r="D1035" s="12"/>
      <c r="E1035" s="16"/>
      <c r="F1035" s="10"/>
      <c r="G1035" s="10"/>
      <c r="H1035" s="10"/>
      <c r="I1035" s="11"/>
      <c r="J1035" s="11"/>
      <c r="K1035" s="11"/>
      <c r="L1035" s="11"/>
      <c r="M1035" s="10"/>
      <c r="N1035" s="2"/>
      <c r="O1035" s="11"/>
      <c r="P1035" s="11"/>
      <c r="Q1035" s="11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</row>
    <row r="1036">
      <c r="A1036" s="11"/>
      <c r="B1036" s="10"/>
      <c r="C1036" s="15"/>
      <c r="D1036" s="12"/>
      <c r="E1036" s="16"/>
      <c r="F1036" s="10"/>
      <c r="G1036" s="10"/>
      <c r="H1036" s="10"/>
      <c r="I1036" s="11"/>
      <c r="J1036" s="11"/>
      <c r="K1036" s="11"/>
      <c r="L1036" s="11"/>
      <c r="M1036" s="10"/>
      <c r="N1036" s="2"/>
      <c r="O1036" s="11"/>
      <c r="P1036" s="11"/>
      <c r="Q1036" s="11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</row>
    <row r="1037">
      <c r="A1037" s="11"/>
      <c r="B1037" s="10"/>
      <c r="C1037" s="15"/>
      <c r="D1037" s="12"/>
      <c r="E1037" s="16"/>
      <c r="F1037" s="10"/>
      <c r="G1037" s="10"/>
      <c r="H1037" s="10"/>
      <c r="I1037" s="11"/>
      <c r="J1037" s="11"/>
      <c r="K1037" s="11"/>
      <c r="L1037" s="11"/>
      <c r="M1037" s="10"/>
      <c r="N1037" s="2"/>
      <c r="O1037" s="11"/>
      <c r="P1037" s="11"/>
      <c r="Q1037" s="11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</row>
    <row r="1038">
      <c r="A1038" s="11"/>
      <c r="B1038" s="10"/>
      <c r="C1038" s="15"/>
      <c r="D1038" s="12"/>
      <c r="E1038" s="16"/>
      <c r="F1038" s="10"/>
      <c r="G1038" s="10"/>
      <c r="H1038" s="10"/>
      <c r="I1038" s="11"/>
      <c r="J1038" s="11"/>
      <c r="K1038" s="11"/>
      <c r="L1038" s="11"/>
      <c r="M1038" s="10"/>
      <c r="N1038" s="2"/>
      <c r="O1038" s="11"/>
      <c r="P1038" s="11"/>
      <c r="Q1038" s="11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</row>
    <row r="1039">
      <c r="A1039" s="11"/>
      <c r="B1039" s="10"/>
      <c r="C1039" s="15"/>
      <c r="D1039" s="12"/>
      <c r="E1039" s="16"/>
      <c r="F1039" s="10"/>
      <c r="G1039" s="10"/>
      <c r="H1039" s="10"/>
      <c r="I1039" s="11"/>
      <c r="J1039" s="11"/>
      <c r="K1039" s="11"/>
      <c r="L1039" s="11"/>
      <c r="M1039" s="10"/>
      <c r="N1039" s="2"/>
      <c r="O1039" s="11"/>
      <c r="P1039" s="11"/>
      <c r="Q1039" s="11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</row>
    <row r="1040">
      <c r="A1040" s="11"/>
      <c r="B1040" s="10"/>
      <c r="C1040" s="15"/>
      <c r="D1040" s="12"/>
      <c r="E1040" s="16"/>
      <c r="F1040" s="10"/>
      <c r="G1040" s="10"/>
      <c r="H1040" s="10"/>
      <c r="I1040" s="11"/>
      <c r="J1040" s="11"/>
      <c r="K1040" s="11"/>
      <c r="L1040" s="11"/>
      <c r="M1040" s="10"/>
      <c r="N1040" s="2"/>
      <c r="O1040" s="11"/>
      <c r="P1040" s="11"/>
      <c r="Q1040" s="11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</row>
    <row r="1041">
      <c r="A1041" s="11"/>
      <c r="B1041" s="10"/>
      <c r="C1041" s="15"/>
      <c r="D1041" s="12"/>
      <c r="E1041" s="16"/>
      <c r="F1041" s="10"/>
      <c r="G1041" s="10"/>
      <c r="H1041" s="10"/>
      <c r="I1041" s="11"/>
      <c r="J1041" s="11"/>
      <c r="K1041" s="11"/>
      <c r="L1041" s="11"/>
      <c r="M1041" s="10"/>
      <c r="N1041" s="2"/>
      <c r="O1041" s="11"/>
      <c r="P1041" s="11"/>
      <c r="Q1041" s="11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</row>
    <row r="1042">
      <c r="A1042" s="11"/>
      <c r="B1042" s="10"/>
      <c r="C1042" s="15"/>
      <c r="D1042" s="12"/>
      <c r="E1042" s="16"/>
      <c r="F1042" s="10"/>
      <c r="G1042" s="10"/>
      <c r="H1042" s="10"/>
      <c r="I1042" s="11"/>
      <c r="J1042" s="11"/>
      <c r="K1042" s="11"/>
      <c r="L1042" s="11"/>
      <c r="M1042" s="10"/>
      <c r="N1042" s="2"/>
      <c r="O1042" s="11"/>
      <c r="P1042" s="11"/>
      <c r="Q1042" s="11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</row>
    <row r="1043">
      <c r="A1043" s="11"/>
      <c r="B1043" s="10"/>
      <c r="C1043" s="15"/>
      <c r="D1043" s="12"/>
      <c r="E1043" s="16"/>
      <c r="F1043" s="10"/>
      <c r="G1043" s="10"/>
      <c r="H1043" s="10"/>
      <c r="I1043" s="11"/>
      <c r="J1043" s="11"/>
      <c r="K1043" s="11"/>
      <c r="L1043" s="11"/>
      <c r="M1043" s="10"/>
      <c r="N1043" s="2"/>
      <c r="O1043" s="11"/>
      <c r="P1043" s="11"/>
      <c r="Q1043" s="11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</row>
    <row r="1044">
      <c r="A1044" s="11"/>
      <c r="B1044" s="10"/>
      <c r="C1044" s="15"/>
      <c r="D1044" s="12"/>
      <c r="E1044" s="16"/>
      <c r="F1044" s="10"/>
      <c r="G1044" s="10"/>
      <c r="H1044" s="10"/>
      <c r="I1044" s="11"/>
      <c r="J1044" s="11"/>
      <c r="K1044" s="11"/>
      <c r="L1044" s="11"/>
      <c r="M1044" s="10"/>
      <c r="N1044" s="2"/>
      <c r="O1044" s="11"/>
      <c r="P1044" s="11"/>
      <c r="Q1044" s="11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</row>
    <row r="1045">
      <c r="A1045" s="11"/>
      <c r="B1045" s="10"/>
      <c r="C1045" s="15"/>
      <c r="D1045" s="12"/>
      <c r="E1045" s="16"/>
      <c r="F1045" s="10"/>
      <c r="G1045" s="10"/>
      <c r="H1045" s="10"/>
      <c r="I1045" s="11"/>
      <c r="J1045" s="11"/>
      <c r="K1045" s="11"/>
      <c r="L1045" s="11"/>
      <c r="M1045" s="10"/>
      <c r="N1045" s="2"/>
      <c r="O1045" s="11"/>
      <c r="P1045" s="11"/>
      <c r="Q1045" s="11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</row>
    <row r="1046">
      <c r="A1046" s="11"/>
      <c r="B1046" s="10"/>
      <c r="C1046" s="15"/>
      <c r="D1046" s="12"/>
      <c r="E1046" s="16"/>
      <c r="F1046" s="10"/>
      <c r="G1046" s="10"/>
      <c r="H1046" s="10"/>
      <c r="I1046" s="11"/>
      <c r="J1046" s="11"/>
      <c r="K1046" s="11"/>
      <c r="L1046" s="11"/>
      <c r="M1046" s="10"/>
      <c r="N1046" s="2"/>
      <c r="O1046" s="11"/>
      <c r="P1046" s="11"/>
      <c r="Q1046" s="11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</row>
    <row r="1047">
      <c r="A1047" s="11"/>
      <c r="B1047" s="10"/>
      <c r="C1047" s="15"/>
      <c r="D1047" s="12"/>
      <c r="E1047" s="16"/>
      <c r="F1047" s="10"/>
      <c r="G1047" s="10"/>
      <c r="H1047" s="10"/>
      <c r="I1047" s="11"/>
      <c r="J1047" s="11"/>
      <c r="K1047" s="11"/>
      <c r="L1047" s="11"/>
      <c r="M1047" s="10"/>
      <c r="N1047" s="2"/>
      <c r="O1047" s="11"/>
      <c r="P1047" s="11"/>
      <c r="Q1047" s="11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</row>
    <row r="1048">
      <c r="A1048" s="11"/>
      <c r="B1048" s="10"/>
      <c r="C1048" s="15"/>
      <c r="D1048" s="12"/>
      <c r="E1048" s="16"/>
      <c r="F1048" s="10"/>
      <c r="G1048" s="10"/>
      <c r="H1048" s="10"/>
      <c r="I1048" s="11"/>
      <c r="J1048" s="11"/>
      <c r="K1048" s="11"/>
      <c r="L1048" s="11"/>
      <c r="M1048" s="10"/>
      <c r="N1048" s="2"/>
      <c r="O1048" s="11"/>
      <c r="P1048" s="11"/>
      <c r="Q1048" s="11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</row>
    <row r="1049">
      <c r="A1049" s="11"/>
      <c r="B1049" s="10"/>
      <c r="C1049" s="15"/>
      <c r="D1049" s="12"/>
      <c r="E1049" s="16"/>
      <c r="F1049" s="10"/>
      <c r="G1049" s="10"/>
      <c r="H1049" s="10"/>
      <c r="I1049" s="11"/>
      <c r="J1049" s="11"/>
      <c r="K1049" s="11"/>
      <c r="L1049" s="11"/>
      <c r="M1049" s="10"/>
      <c r="N1049" s="2"/>
      <c r="O1049" s="11"/>
      <c r="P1049" s="11"/>
      <c r="Q1049" s="11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</row>
    <row r="1050">
      <c r="A1050" s="11"/>
      <c r="B1050" s="10"/>
      <c r="C1050" s="15"/>
      <c r="D1050" s="12"/>
      <c r="E1050" s="16"/>
      <c r="F1050" s="10"/>
      <c r="G1050" s="10"/>
      <c r="H1050" s="10"/>
      <c r="I1050" s="11"/>
      <c r="J1050" s="11"/>
      <c r="K1050" s="11"/>
      <c r="L1050" s="11"/>
      <c r="M1050" s="10"/>
      <c r="N1050" s="2"/>
      <c r="O1050" s="11"/>
      <c r="P1050" s="11"/>
      <c r="Q1050" s="11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</row>
    <row r="1051">
      <c r="A1051" s="11"/>
      <c r="B1051" s="10"/>
      <c r="C1051" s="15"/>
      <c r="D1051" s="12"/>
      <c r="E1051" s="16"/>
      <c r="F1051" s="10"/>
      <c r="G1051" s="10"/>
      <c r="H1051" s="10"/>
      <c r="I1051" s="11"/>
      <c r="J1051" s="11"/>
      <c r="K1051" s="11"/>
      <c r="L1051" s="11"/>
      <c r="M1051" s="10"/>
      <c r="N1051" s="2"/>
      <c r="O1051" s="11"/>
      <c r="P1051" s="11"/>
      <c r="Q1051" s="11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</row>
    <row r="1052">
      <c r="A1052" s="11"/>
      <c r="B1052" s="10"/>
      <c r="C1052" s="15"/>
      <c r="D1052" s="12"/>
      <c r="E1052" s="16"/>
      <c r="F1052" s="10"/>
      <c r="G1052" s="10"/>
      <c r="H1052" s="10"/>
      <c r="I1052" s="11"/>
      <c r="J1052" s="11"/>
      <c r="K1052" s="11"/>
      <c r="L1052" s="11"/>
      <c r="M1052" s="10"/>
      <c r="N1052" s="2"/>
      <c r="O1052" s="11"/>
      <c r="P1052" s="11"/>
      <c r="Q1052" s="11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</row>
    <row r="1053">
      <c r="A1053" s="11"/>
      <c r="B1053" s="10"/>
      <c r="C1053" s="15"/>
      <c r="D1053" s="12"/>
      <c r="E1053" s="16"/>
      <c r="F1053" s="10"/>
      <c r="G1053" s="10"/>
      <c r="H1053" s="10"/>
      <c r="I1053" s="11"/>
      <c r="J1053" s="11"/>
      <c r="K1053" s="11"/>
      <c r="L1053" s="11"/>
      <c r="M1053" s="10"/>
      <c r="N1053" s="2"/>
      <c r="O1053" s="11"/>
      <c r="P1053" s="11"/>
      <c r="Q1053" s="11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</row>
    <row r="1054">
      <c r="A1054" s="11"/>
      <c r="B1054" s="10"/>
      <c r="C1054" s="15"/>
      <c r="D1054" s="12"/>
      <c r="E1054" s="16"/>
      <c r="F1054" s="10"/>
      <c r="G1054" s="10"/>
      <c r="H1054" s="10"/>
      <c r="I1054" s="11"/>
      <c r="J1054" s="11"/>
      <c r="K1054" s="11"/>
      <c r="L1054" s="11"/>
      <c r="M1054" s="10"/>
      <c r="N1054" s="2"/>
      <c r="O1054" s="11"/>
      <c r="P1054" s="11"/>
      <c r="Q1054" s="11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</row>
    <row r="1055">
      <c r="A1055" s="11"/>
      <c r="B1055" s="10"/>
      <c r="C1055" s="15"/>
      <c r="D1055" s="12"/>
      <c r="E1055" s="16"/>
      <c r="F1055" s="10"/>
      <c r="G1055" s="10"/>
      <c r="H1055" s="10"/>
      <c r="I1055" s="11"/>
      <c r="J1055" s="11"/>
      <c r="K1055" s="11"/>
      <c r="L1055" s="11"/>
      <c r="M1055" s="10"/>
      <c r="N1055" s="2"/>
      <c r="O1055" s="11"/>
      <c r="P1055" s="11"/>
      <c r="Q1055" s="11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</row>
    <row r="1056">
      <c r="A1056" s="11"/>
      <c r="B1056" s="10"/>
      <c r="C1056" s="15"/>
      <c r="D1056" s="12"/>
      <c r="E1056" s="16"/>
      <c r="F1056" s="10"/>
      <c r="G1056" s="10"/>
      <c r="H1056" s="10"/>
      <c r="I1056" s="11"/>
      <c r="J1056" s="11"/>
      <c r="K1056" s="11"/>
      <c r="L1056" s="11"/>
      <c r="M1056" s="10"/>
      <c r="N1056" s="2"/>
      <c r="O1056" s="11"/>
      <c r="P1056" s="11"/>
      <c r="Q1056" s="11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</row>
    <row r="1057">
      <c r="A1057" s="11"/>
      <c r="B1057" s="10"/>
      <c r="C1057" s="15"/>
      <c r="D1057" s="12"/>
      <c r="E1057" s="16"/>
      <c r="F1057" s="10"/>
      <c r="G1057" s="10"/>
      <c r="H1057" s="10"/>
      <c r="I1057" s="11"/>
      <c r="J1057" s="11"/>
      <c r="K1057" s="11"/>
      <c r="L1057" s="11"/>
      <c r="M1057" s="10"/>
      <c r="N1057" s="2"/>
      <c r="O1057" s="11"/>
      <c r="P1057" s="11"/>
      <c r="Q1057" s="11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</row>
    <row r="1058">
      <c r="A1058" s="11"/>
      <c r="B1058" s="10"/>
      <c r="C1058" s="15"/>
      <c r="D1058" s="12"/>
      <c r="E1058" s="16"/>
      <c r="F1058" s="10"/>
      <c r="G1058" s="10"/>
      <c r="H1058" s="10"/>
      <c r="I1058" s="11"/>
      <c r="J1058" s="11"/>
      <c r="K1058" s="11"/>
      <c r="L1058" s="11"/>
      <c r="M1058" s="10"/>
      <c r="N1058" s="2"/>
      <c r="O1058" s="11"/>
      <c r="P1058" s="11"/>
      <c r="Q1058" s="11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</row>
    <row r="1059">
      <c r="A1059" s="11"/>
      <c r="B1059" s="10"/>
      <c r="C1059" s="15"/>
      <c r="D1059" s="12"/>
      <c r="E1059" s="16"/>
      <c r="F1059" s="10"/>
      <c r="G1059" s="10"/>
      <c r="H1059" s="10"/>
      <c r="I1059" s="11"/>
      <c r="J1059" s="11"/>
      <c r="K1059" s="11"/>
      <c r="L1059" s="11"/>
      <c r="M1059" s="10"/>
      <c r="N1059" s="2"/>
      <c r="O1059" s="11"/>
      <c r="P1059" s="11"/>
      <c r="Q1059" s="11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</row>
    <row r="1060">
      <c r="A1060" s="11"/>
      <c r="B1060" s="10"/>
      <c r="C1060" s="15"/>
      <c r="D1060" s="12"/>
      <c r="E1060" s="16"/>
      <c r="F1060" s="10"/>
      <c r="G1060" s="10"/>
      <c r="H1060" s="10"/>
      <c r="I1060" s="11"/>
      <c r="J1060" s="11"/>
      <c r="K1060" s="11"/>
      <c r="L1060" s="11"/>
      <c r="M1060" s="10"/>
      <c r="N1060" s="2"/>
      <c r="O1060" s="11"/>
      <c r="P1060" s="11"/>
      <c r="Q1060" s="11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</row>
    <row r="1061">
      <c r="A1061" s="11"/>
      <c r="B1061" s="10"/>
      <c r="C1061" s="15"/>
      <c r="D1061" s="12"/>
      <c r="E1061" s="16"/>
      <c r="F1061" s="10"/>
      <c r="G1061" s="10"/>
      <c r="H1061" s="10"/>
      <c r="I1061" s="11"/>
      <c r="J1061" s="11"/>
      <c r="K1061" s="11"/>
      <c r="L1061" s="11"/>
      <c r="M1061" s="10"/>
      <c r="N1061" s="2"/>
      <c r="O1061" s="11"/>
      <c r="P1061" s="11"/>
      <c r="Q1061" s="11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</row>
    <row r="1062">
      <c r="A1062" s="11"/>
      <c r="B1062" s="10"/>
      <c r="C1062" s="15"/>
      <c r="D1062" s="12"/>
      <c r="E1062" s="16"/>
      <c r="F1062" s="10"/>
      <c r="G1062" s="10"/>
      <c r="H1062" s="10"/>
      <c r="I1062" s="11"/>
      <c r="J1062" s="11"/>
      <c r="K1062" s="11"/>
      <c r="L1062" s="11"/>
      <c r="M1062" s="10"/>
      <c r="N1062" s="2"/>
      <c r="O1062" s="11"/>
      <c r="P1062" s="11"/>
      <c r="Q1062" s="11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</row>
    <row r="1063">
      <c r="A1063" s="11"/>
      <c r="B1063" s="10"/>
      <c r="C1063" s="15"/>
      <c r="D1063" s="12"/>
      <c r="E1063" s="16"/>
      <c r="F1063" s="10"/>
      <c r="G1063" s="10"/>
      <c r="H1063" s="10"/>
      <c r="I1063" s="11"/>
      <c r="J1063" s="11"/>
      <c r="K1063" s="11"/>
      <c r="L1063" s="11"/>
      <c r="M1063" s="10"/>
      <c r="N1063" s="2"/>
      <c r="O1063" s="11"/>
      <c r="P1063" s="11"/>
      <c r="Q1063" s="11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</row>
    <row r="1064">
      <c r="A1064" s="11"/>
      <c r="B1064" s="10"/>
      <c r="C1064" s="15"/>
      <c r="D1064" s="12"/>
      <c r="E1064" s="16"/>
      <c r="F1064" s="10"/>
      <c r="G1064" s="10"/>
      <c r="H1064" s="10"/>
      <c r="I1064" s="11"/>
      <c r="J1064" s="11"/>
      <c r="K1064" s="11"/>
      <c r="L1064" s="11"/>
      <c r="M1064" s="10"/>
      <c r="N1064" s="2"/>
      <c r="O1064" s="11"/>
      <c r="P1064" s="11"/>
      <c r="Q1064" s="11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</row>
    <row r="1065">
      <c r="A1065" s="11"/>
      <c r="B1065" s="10"/>
      <c r="C1065" s="15"/>
      <c r="D1065" s="12"/>
      <c r="E1065" s="16"/>
      <c r="F1065" s="10"/>
      <c r="G1065" s="10"/>
      <c r="H1065" s="10"/>
      <c r="I1065" s="11"/>
      <c r="J1065" s="11"/>
      <c r="K1065" s="11"/>
      <c r="L1065" s="11"/>
      <c r="M1065" s="10"/>
      <c r="N1065" s="2"/>
      <c r="O1065" s="11"/>
      <c r="P1065" s="11"/>
      <c r="Q1065" s="11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</row>
    <row r="1066">
      <c r="A1066" s="11"/>
      <c r="B1066" s="10"/>
      <c r="C1066" s="15"/>
      <c r="D1066" s="12"/>
      <c r="E1066" s="16"/>
      <c r="F1066" s="10"/>
      <c r="G1066" s="10"/>
      <c r="H1066" s="10"/>
      <c r="I1066" s="11"/>
      <c r="J1066" s="11"/>
      <c r="K1066" s="11"/>
      <c r="L1066" s="11"/>
      <c r="M1066" s="10"/>
      <c r="N1066" s="2"/>
      <c r="O1066" s="11"/>
      <c r="P1066" s="11"/>
      <c r="Q1066" s="11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</row>
    <row r="1067">
      <c r="A1067" s="11"/>
      <c r="B1067" s="10"/>
      <c r="C1067" s="15"/>
      <c r="D1067" s="12"/>
      <c r="E1067" s="16"/>
      <c r="F1067" s="10"/>
      <c r="G1067" s="10"/>
      <c r="H1067" s="10"/>
      <c r="I1067" s="11"/>
      <c r="J1067" s="11"/>
      <c r="K1067" s="11"/>
      <c r="L1067" s="11"/>
      <c r="M1067" s="10"/>
      <c r="N1067" s="2"/>
      <c r="O1067" s="11"/>
      <c r="P1067" s="11"/>
      <c r="Q1067" s="11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</row>
    <row r="1068">
      <c r="A1068" s="11"/>
      <c r="B1068" s="10"/>
      <c r="C1068" s="15"/>
      <c r="D1068" s="12"/>
      <c r="E1068" s="16"/>
      <c r="F1068" s="10"/>
      <c r="G1068" s="10"/>
      <c r="H1068" s="10"/>
      <c r="I1068" s="11"/>
      <c r="J1068" s="11"/>
      <c r="K1068" s="11"/>
      <c r="L1068" s="11"/>
      <c r="M1068" s="10"/>
      <c r="N1068" s="2"/>
      <c r="O1068" s="11"/>
      <c r="P1068" s="11"/>
      <c r="Q1068" s="11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</row>
    <row r="1069">
      <c r="A1069" s="11"/>
      <c r="B1069" s="10"/>
      <c r="C1069" s="15"/>
      <c r="D1069" s="12"/>
      <c r="E1069" s="16"/>
      <c r="F1069" s="10"/>
      <c r="G1069" s="10"/>
      <c r="H1069" s="10"/>
      <c r="I1069" s="11"/>
      <c r="J1069" s="11"/>
      <c r="K1069" s="11"/>
      <c r="L1069" s="11"/>
      <c r="M1069" s="10"/>
      <c r="N1069" s="2"/>
      <c r="O1069" s="11"/>
      <c r="P1069" s="11"/>
      <c r="Q1069" s="11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</row>
    <row r="1070">
      <c r="A1070" s="11"/>
      <c r="B1070" s="10"/>
      <c r="C1070" s="15"/>
      <c r="D1070" s="12"/>
      <c r="E1070" s="16"/>
      <c r="F1070" s="10"/>
      <c r="G1070" s="10"/>
      <c r="H1070" s="10"/>
      <c r="I1070" s="11"/>
      <c r="J1070" s="11"/>
      <c r="K1070" s="11"/>
      <c r="L1070" s="11"/>
      <c r="M1070" s="10"/>
      <c r="N1070" s="2"/>
      <c r="O1070" s="11"/>
      <c r="P1070" s="11"/>
      <c r="Q1070" s="11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</row>
    <row r="1071">
      <c r="A1071" s="11"/>
      <c r="B1071" s="10"/>
      <c r="C1071" s="15"/>
      <c r="D1071" s="12"/>
      <c r="E1071" s="16"/>
      <c r="F1071" s="10"/>
      <c r="G1071" s="10"/>
      <c r="H1071" s="10"/>
      <c r="I1071" s="11"/>
      <c r="J1071" s="11"/>
      <c r="K1071" s="11"/>
      <c r="L1071" s="11"/>
      <c r="M1071" s="10"/>
      <c r="N1071" s="2"/>
      <c r="O1071" s="11"/>
      <c r="P1071" s="11"/>
      <c r="Q1071" s="11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</row>
    <row r="1072">
      <c r="A1072" s="11"/>
      <c r="B1072" s="10"/>
      <c r="C1072" s="15"/>
      <c r="D1072" s="12"/>
      <c r="E1072" s="16"/>
      <c r="F1072" s="10"/>
      <c r="G1072" s="10"/>
      <c r="H1072" s="10"/>
      <c r="I1072" s="11"/>
      <c r="J1072" s="11"/>
      <c r="K1072" s="11"/>
      <c r="L1072" s="11"/>
      <c r="M1072" s="10"/>
      <c r="N1072" s="2"/>
      <c r="O1072" s="11"/>
      <c r="P1072" s="11"/>
      <c r="Q1072" s="11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</row>
    <row r="1073">
      <c r="A1073" s="11"/>
      <c r="B1073" s="10"/>
      <c r="C1073" s="15"/>
      <c r="D1073" s="12"/>
      <c r="E1073" s="16"/>
      <c r="F1073" s="10"/>
      <c r="G1073" s="10"/>
      <c r="H1073" s="10"/>
      <c r="I1073" s="11"/>
      <c r="J1073" s="11"/>
      <c r="K1073" s="11"/>
      <c r="L1073" s="11"/>
      <c r="M1073" s="10"/>
      <c r="N1073" s="2"/>
      <c r="O1073" s="11"/>
      <c r="P1073" s="11"/>
      <c r="Q1073" s="11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</row>
    <row r="1074">
      <c r="A1074" s="11"/>
      <c r="B1074" s="10"/>
      <c r="C1074" s="15"/>
      <c r="D1074" s="12"/>
      <c r="E1074" s="16"/>
      <c r="F1074" s="10"/>
      <c r="G1074" s="10"/>
      <c r="H1074" s="10"/>
      <c r="I1074" s="11"/>
      <c r="J1074" s="11"/>
      <c r="K1074" s="11"/>
      <c r="L1074" s="11"/>
      <c r="M1074" s="10"/>
      <c r="N1074" s="2"/>
      <c r="O1074" s="11"/>
      <c r="P1074" s="11"/>
      <c r="Q1074" s="11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</row>
    <row r="1075">
      <c r="A1075" s="11"/>
      <c r="B1075" s="10"/>
      <c r="C1075" s="15"/>
      <c r="D1075" s="12"/>
      <c r="E1075" s="16"/>
      <c r="F1075" s="10"/>
      <c r="G1075" s="10"/>
      <c r="H1075" s="10"/>
      <c r="I1075" s="11"/>
      <c r="J1075" s="11"/>
      <c r="K1075" s="11"/>
      <c r="L1075" s="11"/>
      <c r="M1075" s="10"/>
      <c r="N1075" s="2"/>
      <c r="O1075" s="11"/>
      <c r="P1075" s="11"/>
      <c r="Q1075" s="11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</row>
    <row r="1076">
      <c r="A1076" s="11"/>
      <c r="B1076" s="10"/>
      <c r="C1076" s="15"/>
      <c r="D1076" s="12"/>
      <c r="E1076" s="16"/>
      <c r="F1076" s="10"/>
      <c r="G1076" s="10"/>
      <c r="H1076" s="10"/>
      <c r="I1076" s="11"/>
      <c r="J1076" s="11"/>
      <c r="K1076" s="11"/>
      <c r="L1076" s="11"/>
      <c r="M1076" s="10"/>
      <c r="N1076" s="2"/>
      <c r="O1076" s="11"/>
      <c r="P1076" s="11"/>
      <c r="Q1076" s="11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</row>
    <row r="1077">
      <c r="A1077" s="11"/>
      <c r="B1077" s="10"/>
      <c r="C1077" s="15"/>
      <c r="D1077" s="12"/>
      <c r="E1077" s="16"/>
      <c r="F1077" s="10"/>
      <c r="G1077" s="10"/>
      <c r="H1077" s="10"/>
      <c r="I1077" s="11"/>
      <c r="J1077" s="11"/>
      <c r="K1077" s="11"/>
      <c r="L1077" s="11"/>
      <c r="M1077" s="10"/>
      <c r="N1077" s="2"/>
      <c r="O1077" s="11"/>
      <c r="P1077" s="11"/>
      <c r="Q1077" s="11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</row>
    <row r="1078">
      <c r="A1078" s="11"/>
      <c r="B1078" s="10"/>
      <c r="C1078" s="15"/>
      <c r="D1078" s="12"/>
      <c r="E1078" s="16"/>
      <c r="F1078" s="10"/>
      <c r="G1078" s="10"/>
      <c r="H1078" s="10"/>
      <c r="I1078" s="11"/>
      <c r="J1078" s="11"/>
      <c r="K1078" s="11"/>
      <c r="L1078" s="11"/>
      <c r="M1078" s="10"/>
      <c r="N1078" s="2"/>
      <c r="O1078" s="11"/>
      <c r="P1078" s="11"/>
      <c r="Q1078" s="11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</row>
    <row r="1079">
      <c r="A1079" s="11"/>
      <c r="B1079" s="10"/>
      <c r="C1079" s="15"/>
      <c r="D1079" s="12"/>
      <c r="E1079" s="16"/>
      <c r="F1079" s="10"/>
      <c r="G1079" s="10"/>
      <c r="H1079" s="10"/>
      <c r="I1079" s="11"/>
      <c r="J1079" s="11"/>
      <c r="K1079" s="11"/>
      <c r="L1079" s="11"/>
      <c r="M1079" s="10"/>
      <c r="N1079" s="2"/>
      <c r="O1079" s="11"/>
      <c r="P1079" s="11"/>
      <c r="Q1079" s="11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</row>
    <row r="1080">
      <c r="A1080" s="11"/>
      <c r="B1080" s="10"/>
      <c r="C1080" s="15"/>
      <c r="D1080" s="12"/>
      <c r="E1080" s="16"/>
      <c r="F1080" s="10"/>
      <c r="G1080" s="10"/>
      <c r="H1080" s="10"/>
      <c r="I1080" s="11"/>
      <c r="J1080" s="11"/>
      <c r="K1080" s="11"/>
      <c r="L1080" s="11"/>
      <c r="M1080" s="10"/>
      <c r="N1080" s="2"/>
      <c r="O1080" s="11"/>
      <c r="P1080" s="11"/>
      <c r="Q1080" s="11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</row>
    <row r="1081">
      <c r="A1081" s="11"/>
      <c r="B1081" s="10"/>
      <c r="C1081" s="15"/>
      <c r="D1081" s="12"/>
      <c r="E1081" s="16"/>
      <c r="F1081" s="10"/>
      <c r="G1081" s="10"/>
      <c r="H1081" s="10"/>
      <c r="I1081" s="11"/>
      <c r="J1081" s="11"/>
      <c r="K1081" s="11"/>
      <c r="L1081" s="11"/>
      <c r="M1081" s="10"/>
      <c r="N1081" s="2"/>
      <c r="O1081" s="11"/>
      <c r="P1081" s="11"/>
      <c r="Q1081" s="11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</row>
    <row r="1082">
      <c r="A1082" s="11"/>
      <c r="B1082" s="10"/>
      <c r="C1082" s="15"/>
      <c r="D1082" s="12"/>
      <c r="E1082" s="16"/>
      <c r="F1082" s="10"/>
      <c r="G1082" s="10"/>
      <c r="H1082" s="10"/>
      <c r="I1082" s="11"/>
      <c r="J1082" s="11"/>
      <c r="K1082" s="11"/>
      <c r="L1082" s="11"/>
      <c r="M1082" s="10"/>
      <c r="N1082" s="2"/>
      <c r="O1082" s="11"/>
      <c r="P1082" s="11"/>
      <c r="Q1082" s="11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</row>
    <row r="1083">
      <c r="A1083" s="11"/>
      <c r="B1083" s="10"/>
      <c r="C1083" s="15"/>
      <c r="D1083" s="12"/>
      <c r="E1083" s="16"/>
      <c r="F1083" s="10"/>
      <c r="G1083" s="10"/>
      <c r="H1083" s="10"/>
      <c r="I1083" s="11"/>
      <c r="J1083" s="11"/>
      <c r="K1083" s="11"/>
      <c r="L1083" s="11"/>
      <c r="M1083" s="10"/>
      <c r="N1083" s="2"/>
      <c r="O1083" s="11"/>
      <c r="P1083" s="11"/>
      <c r="Q1083" s="11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</row>
    <row r="1084">
      <c r="A1084" s="11"/>
      <c r="B1084" s="10"/>
      <c r="C1084" s="15"/>
      <c r="D1084" s="12"/>
      <c r="E1084" s="16"/>
      <c r="F1084" s="10"/>
      <c r="G1084" s="10"/>
      <c r="H1084" s="10"/>
      <c r="I1084" s="11"/>
      <c r="J1084" s="11"/>
      <c r="K1084" s="11"/>
      <c r="L1084" s="11"/>
      <c r="M1084" s="10"/>
      <c r="N1084" s="2"/>
      <c r="O1084" s="11"/>
      <c r="P1084" s="11"/>
      <c r="Q1084" s="11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</row>
    <row r="1085">
      <c r="A1085" s="11"/>
      <c r="B1085" s="10"/>
      <c r="C1085" s="15"/>
      <c r="D1085" s="12"/>
      <c r="E1085" s="16"/>
      <c r="F1085" s="10"/>
      <c r="G1085" s="10"/>
      <c r="H1085" s="10"/>
      <c r="I1085" s="11"/>
      <c r="J1085" s="11"/>
      <c r="K1085" s="11"/>
      <c r="L1085" s="11"/>
      <c r="M1085" s="10"/>
      <c r="N1085" s="2"/>
      <c r="O1085" s="11"/>
      <c r="P1085" s="11"/>
      <c r="Q1085" s="11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</row>
    <row r="1086">
      <c r="A1086" s="11"/>
      <c r="B1086" s="10"/>
      <c r="C1086" s="15"/>
      <c r="D1086" s="12"/>
      <c r="E1086" s="16"/>
      <c r="F1086" s="10"/>
      <c r="G1086" s="10"/>
      <c r="H1086" s="10"/>
      <c r="I1086" s="11"/>
      <c r="J1086" s="11"/>
      <c r="K1086" s="11"/>
      <c r="L1086" s="11"/>
      <c r="M1086" s="10"/>
      <c r="N1086" s="2"/>
      <c r="O1086" s="11"/>
      <c r="P1086" s="11"/>
      <c r="Q1086" s="11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</row>
    <row r="1087">
      <c r="A1087" s="11"/>
      <c r="B1087" s="10"/>
      <c r="C1087" s="15"/>
      <c r="D1087" s="12"/>
      <c r="E1087" s="16"/>
      <c r="F1087" s="10"/>
      <c r="G1087" s="10"/>
      <c r="H1087" s="10"/>
      <c r="I1087" s="11"/>
      <c r="J1087" s="11"/>
      <c r="K1087" s="11"/>
      <c r="L1087" s="11"/>
      <c r="M1087" s="10"/>
      <c r="N1087" s="2"/>
      <c r="O1087" s="11"/>
      <c r="P1087" s="11"/>
      <c r="Q1087" s="11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</row>
    <row r="1088">
      <c r="A1088" s="11"/>
      <c r="B1088" s="10"/>
      <c r="C1088" s="15"/>
      <c r="D1088" s="12"/>
      <c r="E1088" s="16"/>
      <c r="F1088" s="10"/>
      <c r="G1088" s="10"/>
      <c r="H1088" s="10"/>
      <c r="I1088" s="11"/>
      <c r="J1088" s="11"/>
      <c r="K1088" s="11"/>
      <c r="L1088" s="11"/>
      <c r="M1088" s="10"/>
      <c r="N1088" s="2"/>
      <c r="O1088" s="11"/>
      <c r="P1088" s="11"/>
      <c r="Q1088" s="11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</row>
    <row r="1089">
      <c r="A1089" s="11"/>
      <c r="B1089" s="10"/>
      <c r="C1089" s="15"/>
      <c r="D1089" s="12"/>
      <c r="E1089" s="16"/>
      <c r="F1089" s="10"/>
      <c r="G1089" s="10"/>
      <c r="H1089" s="10"/>
      <c r="I1089" s="11"/>
      <c r="J1089" s="11"/>
      <c r="K1089" s="11"/>
      <c r="L1089" s="11"/>
      <c r="M1089" s="10"/>
      <c r="N1089" s="2"/>
      <c r="O1089" s="11"/>
      <c r="P1089" s="11"/>
      <c r="Q1089" s="11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</row>
    <row r="1090">
      <c r="A1090" s="11"/>
      <c r="B1090" s="10"/>
      <c r="C1090" s="15"/>
      <c r="D1090" s="12"/>
      <c r="E1090" s="16"/>
      <c r="F1090" s="10"/>
      <c r="G1090" s="10"/>
      <c r="H1090" s="10"/>
      <c r="I1090" s="11"/>
      <c r="J1090" s="11"/>
      <c r="K1090" s="11"/>
      <c r="L1090" s="11"/>
      <c r="M1090" s="10"/>
      <c r="N1090" s="2"/>
      <c r="O1090" s="11"/>
      <c r="P1090" s="11"/>
      <c r="Q1090" s="11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</row>
    <row r="1091">
      <c r="A1091" s="11"/>
      <c r="B1091" s="10"/>
      <c r="C1091" s="15"/>
      <c r="D1091" s="12"/>
      <c r="E1091" s="16"/>
      <c r="F1091" s="10"/>
      <c r="G1091" s="10"/>
      <c r="H1091" s="10"/>
      <c r="I1091" s="11"/>
      <c r="J1091" s="11"/>
      <c r="K1091" s="11"/>
      <c r="L1091" s="11"/>
      <c r="M1091" s="10"/>
      <c r="N1091" s="2"/>
      <c r="O1091" s="11"/>
      <c r="P1091" s="11"/>
      <c r="Q1091" s="11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</row>
    <row r="1092">
      <c r="A1092" s="11"/>
      <c r="B1092" s="10"/>
      <c r="C1092" s="15"/>
      <c r="D1092" s="12"/>
      <c r="E1092" s="16"/>
      <c r="F1092" s="10"/>
      <c r="G1092" s="10"/>
      <c r="H1092" s="10"/>
      <c r="I1092" s="11"/>
      <c r="J1092" s="11"/>
      <c r="K1092" s="11"/>
      <c r="L1092" s="11"/>
      <c r="M1092" s="10"/>
      <c r="N1092" s="2"/>
      <c r="O1092" s="11"/>
      <c r="P1092" s="11"/>
      <c r="Q1092" s="11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</row>
    <row r="1093">
      <c r="A1093" s="11"/>
      <c r="B1093" s="10"/>
      <c r="C1093" s="15"/>
      <c r="D1093" s="12"/>
      <c r="E1093" s="16"/>
      <c r="F1093" s="10"/>
      <c r="G1093" s="10"/>
      <c r="H1093" s="10"/>
      <c r="I1093" s="11"/>
      <c r="J1093" s="11"/>
      <c r="K1093" s="11"/>
      <c r="L1093" s="11"/>
      <c r="M1093" s="10"/>
      <c r="N1093" s="2"/>
      <c r="O1093" s="11"/>
      <c r="P1093" s="11"/>
      <c r="Q1093" s="11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</row>
    <row r="1094">
      <c r="A1094" s="11"/>
      <c r="B1094" s="10"/>
      <c r="C1094" s="15"/>
      <c r="D1094" s="12"/>
      <c r="E1094" s="16"/>
      <c r="F1094" s="10"/>
      <c r="G1094" s="10"/>
      <c r="H1094" s="10"/>
      <c r="I1094" s="11"/>
      <c r="J1094" s="11"/>
      <c r="K1094" s="11"/>
      <c r="L1094" s="11"/>
      <c r="M1094" s="10"/>
      <c r="N1094" s="2"/>
      <c r="O1094" s="11"/>
      <c r="P1094" s="11"/>
      <c r="Q1094" s="11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</row>
    <row r="1095">
      <c r="A1095" s="11"/>
      <c r="B1095" s="10"/>
      <c r="C1095" s="15"/>
      <c r="D1095" s="12"/>
      <c r="E1095" s="16"/>
      <c r="F1095" s="10"/>
      <c r="G1095" s="10"/>
      <c r="H1095" s="10"/>
      <c r="I1095" s="11"/>
      <c r="J1095" s="11"/>
      <c r="K1095" s="11"/>
      <c r="L1095" s="11"/>
      <c r="M1095" s="10"/>
      <c r="N1095" s="2"/>
      <c r="O1095" s="11"/>
      <c r="P1095" s="11"/>
      <c r="Q1095" s="11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</row>
    <row r="1096">
      <c r="A1096" s="11"/>
      <c r="B1096" s="10"/>
      <c r="C1096" s="15"/>
      <c r="D1096" s="12"/>
      <c r="E1096" s="16"/>
      <c r="F1096" s="10"/>
      <c r="G1096" s="10"/>
      <c r="H1096" s="10"/>
      <c r="I1096" s="11"/>
      <c r="J1096" s="11"/>
      <c r="K1096" s="11"/>
      <c r="L1096" s="11"/>
      <c r="M1096" s="10"/>
      <c r="N1096" s="2"/>
      <c r="O1096" s="11"/>
      <c r="P1096" s="11"/>
      <c r="Q1096" s="11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</row>
    <row r="1097">
      <c r="A1097" s="11"/>
      <c r="B1097" s="10"/>
      <c r="C1097" s="15"/>
      <c r="D1097" s="12"/>
      <c r="E1097" s="16"/>
      <c r="F1097" s="10"/>
      <c r="G1097" s="10"/>
      <c r="H1097" s="10"/>
      <c r="I1097" s="11"/>
      <c r="J1097" s="11"/>
      <c r="K1097" s="11"/>
      <c r="L1097" s="11"/>
      <c r="M1097" s="10"/>
      <c r="N1097" s="2"/>
      <c r="O1097" s="11"/>
      <c r="P1097" s="11"/>
      <c r="Q1097" s="11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</row>
    <row r="1098">
      <c r="A1098" s="11"/>
      <c r="B1098" s="10"/>
      <c r="C1098" s="15"/>
      <c r="D1098" s="12"/>
      <c r="E1098" s="16"/>
      <c r="F1098" s="10"/>
      <c r="G1098" s="10"/>
      <c r="H1098" s="10"/>
      <c r="I1098" s="11"/>
      <c r="J1098" s="11"/>
      <c r="K1098" s="11"/>
      <c r="L1098" s="11"/>
      <c r="M1098" s="10"/>
      <c r="N1098" s="2"/>
      <c r="O1098" s="11"/>
      <c r="P1098" s="11"/>
      <c r="Q1098" s="11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</row>
    <row r="1099">
      <c r="A1099" s="11"/>
      <c r="B1099" s="10"/>
      <c r="C1099" s="15"/>
      <c r="D1099" s="12"/>
      <c r="E1099" s="16"/>
      <c r="F1099" s="10"/>
      <c r="G1099" s="10"/>
      <c r="H1099" s="10"/>
      <c r="I1099" s="11"/>
      <c r="J1099" s="11"/>
      <c r="K1099" s="11"/>
      <c r="L1099" s="11"/>
      <c r="M1099" s="10"/>
      <c r="N1099" s="2"/>
      <c r="O1099" s="11"/>
      <c r="P1099" s="11"/>
      <c r="Q1099" s="11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</row>
    <row r="1100">
      <c r="A1100" s="11"/>
      <c r="B1100" s="10"/>
      <c r="C1100" s="15"/>
      <c r="D1100" s="12"/>
      <c r="E1100" s="16"/>
      <c r="F1100" s="10"/>
      <c r="G1100" s="10"/>
      <c r="H1100" s="10"/>
      <c r="I1100" s="11"/>
      <c r="J1100" s="11"/>
      <c r="K1100" s="11"/>
      <c r="L1100" s="11"/>
      <c r="M1100" s="10"/>
      <c r="N1100" s="2"/>
      <c r="O1100" s="11"/>
      <c r="P1100" s="11"/>
      <c r="Q1100" s="11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</row>
    <row r="1101">
      <c r="A1101" s="11"/>
      <c r="B1101" s="10"/>
      <c r="C1101" s="15"/>
      <c r="D1101" s="12"/>
      <c r="E1101" s="16"/>
      <c r="F1101" s="10"/>
      <c r="G1101" s="10"/>
      <c r="H1101" s="10"/>
      <c r="I1101" s="11"/>
      <c r="J1101" s="11"/>
      <c r="K1101" s="11"/>
      <c r="L1101" s="11"/>
      <c r="M1101" s="10"/>
      <c r="N1101" s="2"/>
      <c r="O1101" s="11"/>
      <c r="P1101" s="11"/>
      <c r="Q1101" s="11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</row>
    <row r="1102">
      <c r="A1102" s="11"/>
      <c r="B1102" s="10"/>
      <c r="C1102" s="15"/>
      <c r="D1102" s="12"/>
      <c r="E1102" s="16"/>
      <c r="F1102" s="10"/>
      <c r="G1102" s="10"/>
      <c r="H1102" s="10"/>
      <c r="I1102" s="11"/>
      <c r="J1102" s="11"/>
      <c r="K1102" s="11"/>
      <c r="L1102" s="11"/>
      <c r="M1102" s="10"/>
      <c r="N1102" s="2"/>
      <c r="O1102" s="11"/>
      <c r="P1102" s="11"/>
      <c r="Q1102" s="11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</row>
    <row r="1103">
      <c r="A1103" s="11"/>
      <c r="B1103" s="10"/>
      <c r="C1103" s="15"/>
      <c r="D1103" s="12"/>
      <c r="E1103" s="16"/>
      <c r="F1103" s="10"/>
      <c r="G1103" s="10"/>
      <c r="H1103" s="10"/>
      <c r="I1103" s="11"/>
      <c r="J1103" s="11"/>
      <c r="K1103" s="11"/>
      <c r="L1103" s="11"/>
      <c r="M1103" s="10"/>
      <c r="N1103" s="2"/>
      <c r="O1103" s="11"/>
      <c r="P1103" s="11"/>
      <c r="Q1103" s="11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</row>
    <row r="1104">
      <c r="A1104" s="11"/>
      <c r="B1104" s="10"/>
      <c r="C1104" s="15"/>
      <c r="D1104" s="12"/>
      <c r="E1104" s="16"/>
      <c r="F1104" s="10"/>
      <c r="G1104" s="10"/>
      <c r="H1104" s="10"/>
      <c r="I1104" s="11"/>
      <c r="J1104" s="11"/>
      <c r="K1104" s="11"/>
      <c r="L1104" s="11"/>
      <c r="M1104" s="10"/>
      <c r="N1104" s="2"/>
      <c r="O1104" s="11"/>
      <c r="P1104" s="11"/>
      <c r="Q1104" s="11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</row>
    <row r="1105">
      <c r="A1105" s="11"/>
      <c r="B1105" s="10"/>
      <c r="C1105" s="15"/>
      <c r="D1105" s="12"/>
      <c r="E1105" s="16"/>
      <c r="F1105" s="10"/>
      <c r="G1105" s="10"/>
      <c r="H1105" s="10"/>
      <c r="I1105" s="11"/>
      <c r="J1105" s="11"/>
      <c r="K1105" s="11"/>
      <c r="L1105" s="11"/>
      <c r="M1105" s="10"/>
      <c r="N1105" s="2"/>
      <c r="O1105" s="11"/>
      <c r="P1105" s="11"/>
      <c r="Q1105" s="11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</row>
    <row r="1106">
      <c r="A1106" s="11"/>
      <c r="B1106" s="10"/>
      <c r="C1106" s="15"/>
      <c r="D1106" s="12"/>
      <c r="E1106" s="16"/>
      <c r="F1106" s="10"/>
      <c r="G1106" s="10"/>
      <c r="H1106" s="10"/>
      <c r="I1106" s="11"/>
      <c r="J1106" s="11"/>
      <c r="K1106" s="11"/>
      <c r="L1106" s="11"/>
      <c r="M1106" s="10"/>
      <c r="N1106" s="2"/>
      <c r="O1106" s="11"/>
      <c r="P1106" s="11"/>
      <c r="Q1106" s="11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</row>
    <row r="1107">
      <c r="A1107" s="11"/>
      <c r="B1107" s="10"/>
      <c r="C1107" s="15"/>
      <c r="D1107" s="12"/>
      <c r="E1107" s="16"/>
      <c r="F1107" s="10"/>
      <c r="G1107" s="10"/>
      <c r="H1107" s="10"/>
      <c r="I1107" s="11"/>
      <c r="J1107" s="11"/>
      <c r="K1107" s="11"/>
      <c r="L1107" s="11"/>
      <c r="M1107" s="10"/>
      <c r="N1107" s="2"/>
      <c r="O1107" s="11"/>
      <c r="P1107" s="11"/>
      <c r="Q1107" s="11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</row>
    <row r="1108">
      <c r="A1108" s="11"/>
      <c r="B1108" s="10"/>
      <c r="C1108" s="15"/>
      <c r="D1108" s="12"/>
      <c r="E1108" s="16"/>
      <c r="F1108" s="10"/>
      <c r="G1108" s="10"/>
      <c r="H1108" s="10"/>
      <c r="I1108" s="11"/>
      <c r="J1108" s="11"/>
      <c r="K1108" s="11"/>
      <c r="L1108" s="11"/>
      <c r="M1108" s="10"/>
      <c r="N1108" s="2"/>
      <c r="O1108" s="11"/>
      <c r="P1108" s="11"/>
      <c r="Q1108" s="11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</row>
    <row r="1109">
      <c r="A1109" s="11"/>
      <c r="B1109" s="10"/>
      <c r="C1109" s="15"/>
      <c r="D1109" s="12"/>
      <c r="E1109" s="16"/>
      <c r="F1109" s="10"/>
      <c r="G1109" s="10"/>
      <c r="H1109" s="10"/>
      <c r="I1109" s="11"/>
      <c r="J1109" s="11"/>
      <c r="K1109" s="11"/>
      <c r="L1109" s="11"/>
      <c r="M1109" s="10"/>
      <c r="N1109" s="2"/>
      <c r="O1109" s="11"/>
      <c r="P1109" s="11"/>
      <c r="Q1109" s="11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</row>
    <row r="1110">
      <c r="A1110" s="11"/>
      <c r="B1110" s="10"/>
      <c r="C1110" s="15"/>
      <c r="D1110" s="12"/>
      <c r="E1110" s="16"/>
      <c r="F1110" s="10"/>
      <c r="G1110" s="10"/>
      <c r="H1110" s="10"/>
      <c r="I1110" s="11"/>
      <c r="J1110" s="11"/>
      <c r="K1110" s="11"/>
      <c r="L1110" s="11"/>
      <c r="M1110" s="10"/>
      <c r="N1110" s="2"/>
      <c r="O1110" s="11"/>
      <c r="P1110" s="11"/>
      <c r="Q1110" s="11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</row>
    <row r="1111">
      <c r="A1111" s="11"/>
      <c r="B1111" s="10"/>
      <c r="C1111" s="15"/>
      <c r="D1111" s="12"/>
      <c r="E1111" s="16"/>
      <c r="F1111" s="10"/>
      <c r="G1111" s="10"/>
      <c r="H1111" s="10"/>
      <c r="I1111" s="11"/>
      <c r="J1111" s="11"/>
      <c r="K1111" s="11"/>
      <c r="L1111" s="11"/>
      <c r="M1111" s="10"/>
      <c r="N1111" s="2"/>
      <c r="O1111" s="11"/>
      <c r="P1111" s="11"/>
      <c r="Q1111" s="11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</row>
    <row r="1112">
      <c r="A1112" s="11"/>
      <c r="B1112" s="10"/>
      <c r="C1112" s="15"/>
      <c r="D1112" s="12"/>
      <c r="E1112" s="16"/>
      <c r="F1112" s="10"/>
      <c r="G1112" s="10"/>
      <c r="H1112" s="10"/>
      <c r="I1112" s="11"/>
      <c r="J1112" s="11"/>
      <c r="K1112" s="11"/>
      <c r="L1112" s="11"/>
      <c r="M1112" s="10"/>
      <c r="N1112" s="2"/>
      <c r="O1112" s="11"/>
      <c r="P1112" s="11"/>
      <c r="Q1112" s="11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</row>
    <row r="1113">
      <c r="A1113" s="11"/>
      <c r="B1113" s="10"/>
      <c r="C1113" s="15"/>
      <c r="D1113" s="12"/>
      <c r="E1113" s="16"/>
      <c r="F1113" s="10"/>
      <c r="G1113" s="10"/>
      <c r="H1113" s="10"/>
      <c r="I1113" s="11"/>
      <c r="J1113" s="11"/>
      <c r="K1113" s="11"/>
      <c r="L1113" s="11"/>
      <c r="M1113" s="10"/>
      <c r="N1113" s="2"/>
      <c r="O1113" s="11"/>
      <c r="P1113" s="11"/>
      <c r="Q1113" s="11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</row>
    <row r="1114">
      <c r="A1114" s="11"/>
      <c r="B1114" s="10"/>
      <c r="C1114" s="15"/>
      <c r="D1114" s="12"/>
      <c r="E1114" s="16"/>
      <c r="F1114" s="10"/>
      <c r="G1114" s="10"/>
      <c r="H1114" s="10"/>
      <c r="I1114" s="11"/>
      <c r="J1114" s="11"/>
      <c r="K1114" s="11"/>
      <c r="L1114" s="11"/>
      <c r="M1114" s="10"/>
      <c r="N1114" s="2"/>
      <c r="O1114" s="11"/>
      <c r="P1114" s="11"/>
      <c r="Q1114" s="11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</row>
    <row r="1115">
      <c r="A1115" s="11"/>
      <c r="B1115" s="10"/>
      <c r="C1115" s="15"/>
      <c r="D1115" s="12"/>
      <c r="E1115" s="16"/>
      <c r="F1115" s="10"/>
      <c r="G1115" s="10"/>
      <c r="H1115" s="10"/>
      <c r="I1115" s="11"/>
      <c r="J1115" s="11"/>
      <c r="K1115" s="11"/>
      <c r="L1115" s="11"/>
      <c r="M1115" s="10"/>
      <c r="N1115" s="2"/>
      <c r="O1115" s="11"/>
      <c r="P1115" s="11"/>
      <c r="Q1115" s="11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</row>
    <row r="1116">
      <c r="A1116" s="11"/>
      <c r="B1116" s="10"/>
      <c r="C1116" s="15"/>
      <c r="D1116" s="12"/>
      <c r="E1116" s="16"/>
      <c r="F1116" s="10"/>
      <c r="G1116" s="10"/>
      <c r="H1116" s="10"/>
      <c r="I1116" s="11"/>
      <c r="J1116" s="11"/>
      <c r="K1116" s="11"/>
      <c r="L1116" s="11"/>
      <c r="M1116" s="10"/>
      <c r="N1116" s="2"/>
      <c r="O1116" s="11"/>
      <c r="P1116" s="11"/>
      <c r="Q1116" s="11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</row>
    <row r="1117">
      <c r="A1117" s="11"/>
      <c r="B1117" s="10"/>
      <c r="C1117" s="15"/>
      <c r="D1117" s="12"/>
      <c r="E1117" s="16"/>
      <c r="F1117" s="10"/>
      <c r="G1117" s="10"/>
      <c r="H1117" s="10"/>
      <c r="I1117" s="11"/>
      <c r="J1117" s="11"/>
      <c r="K1117" s="11"/>
      <c r="L1117" s="11"/>
      <c r="M1117" s="10"/>
      <c r="N1117" s="2"/>
      <c r="O1117" s="11"/>
      <c r="P1117" s="11"/>
      <c r="Q1117" s="11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</row>
    <row r="1118">
      <c r="A1118" s="11"/>
      <c r="B1118" s="10"/>
      <c r="C1118" s="15"/>
      <c r="D1118" s="12"/>
      <c r="E1118" s="16"/>
      <c r="F1118" s="10"/>
      <c r="G1118" s="10"/>
      <c r="H1118" s="10"/>
      <c r="I1118" s="11"/>
      <c r="J1118" s="11"/>
      <c r="K1118" s="11"/>
      <c r="L1118" s="11"/>
      <c r="M1118" s="10"/>
      <c r="N1118" s="2"/>
      <c r="O1118" s="11"/>
      <c r="P1118" s="11"/>
      <c r="Q1118" s="11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</row>
    <row r="1119">
      <c r="A1119" s="11"/>
      <c r="B1119" s="10"/>
      <c r="C1119" s="15"/>
      <c r="D1119" s="12"/>
      <c r="E1119" s="16"/>
      <c r="F1119" s="10"/>
      <c r="G1119" s="10"/>
      <c r="H1119" s="10"/>
      <c r="I1119" s="11"/>
      <c r="J1119" s="11"/>
      <c r="K1119" s="11"/>
      <c r="L1119" s="11"/>
      <c r="M1119" s="10"/>
      <c r="N1119" s="2"/>
      <c r="O1119" s="11"/>
      <c r="P1119" s="11"/>
      <c r="Q1119" s="11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</row>
    <row r="1120">
      <c r="A1120" s="11"/>
      <c r="B1120" s="10"/>
      <c r="C1120" s="15"/>
      <c r="D1120" s="12"/>
      <c r="E1120" s="16"/>
      <c r="F1120" s="10"/>
      <c r="G1120" s="10"/>
      <c r="H1120" s="10"/>
      <c r="I1120" s="11"/>
      <c r="J1120" s="11"/>
      <c r="K1120" s="11"/>
      <c r="L1120" s="11"/>
      <c r="M1120" s="10"/>
      <c r="N1120" s="2"/>
      <c r="O1120" s="11"/>
      <c r="P1120" s="11"/>
      <c r="Q1120" s="11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</row>
    <row r="1121">
      <c r="A1121" s="11"/>
      <c r="B1121" s="10"/>
      <c r="C1121" s="15"/>
      <c r="D1121" s="12"/>
      <c r="E1121" s="16"/>
      <c r="F1121" s="10"/>
      <c r="G1121" s="10"/>
      <c r="H1121" s="10"/>
      <c r="I1121" s="11"/>
      <c r="J1121" s="11"/>
      <c r="K1121" s="11"/>
      <c r="L1121" s="11"/>
      <c r="M1121" s="10"/>
      <c r="N1121" s="2"/>
      <c r="O1121" s="11"/>
      <c r="P1121" s="11"/>
      <c r="Q1121" s="11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</row>
    <row r="1122">
      <c r="A1122" s="11"/>
      <c r="B1122" s="10"/>
      <c r="C1122" s="15"/>
      <c r="D1122" s="12"/>
      <c r="E1122" s="16"/>
      <c r="F1122" s="10"/>
      <c r="G1122" s="10"/>
      <c r="H1122" s="10"/>
      <c r="I1122" s="11"/>
      <c r="J1122" s="11"/>
      <c r="K1122" s="11"/>
      <c r="L1122" s="11"/>
      <c r="M1122" s="10"/>
      <c r="N1122" s="2"/>
      <c r="O1122" s="11"/>
      <c r="P1122" s="11"/>
      <c r="Q1122" s="11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</row>
    <row r="1123">
      <c r="A1123" s="11"/>
      <c r="B1123" s="10"/>
      <c r="C1123" s="15"/>
      <c r="D1123" s="12"/>
      <c r="E1123" s="16"/>
      <c r="F1123" s="10"/>
      <c r="G1123" s="10"/>
      <c r="H1123" s="10"/>
      <c r="I1123" s="11"/>
      <c r="J1123" s="11"/>
      <c r="K1123" s="11"/>
      <c r="L1123" s="11"/>
      <c r="M1123" s="10"/>
      <c r="N1123" s="2"/>
      <c r="O1123" s="11"/>
      <c r="P1123" s="11"/>
      <c r="Q1123" s="11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</row>
    <row r="1124">
      <c r="A1124" s="11"/>
      <c r="B1124" s="10"/>
      <c r="C1124" s="15"/>
      <c r="D1124" s="12"/>
      <c r="E1124" s="16"/>
      <c r="F1124" s="10"/>
      <c r="G1124" s="10"/>
      <c r="H1124" s="10"/>
      <c r="I1124" s="11"/>
      <c r="J1124" s="11"/>
      <c r="K1124" s="11"/>
      <c r="L1124" s="11"/>
      <c r="M1124" s="10"/>
      <c r="N1124" s="2"/>
      <c r="O1124" s="11"/>
      <c r="P1124" s="11"/>
      <c r="Q1124" s="11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</row>
    <row r="1125">
      <c r="A1125" s="11"/>
      <c r="B1125" s="10"/>
      <c r="C1125" s="15"/>
      <c r="D1125" s="12"/>
      <c r="E1125" s="16"/>
      <c r="F1125" s="10"/>
      <c r="G1125" s="10"/>
      <c r="H1125" s="10"/>
      <c r="I1125" s="11"/>
      <c r="J1125" s="11"/>
      <c r="K1125" s="11"/>
      <c r="L1125" s="11"/>
      <c r="M1125" s="10"/>
      <c r="N1125" s="2"/>
      <c r="O1125" s="11"/>
      <c r="P1125" s="11"/>
      <c r="Q1125" s="11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</row>
    <row r="1126">
      <c r="A1126" s="11"/>
      <c r="B1126" s="10"/>
      <c r="C1126" s="15"/>
      <c r="D1126" s="12"/>
      <c r="E1126" s="16"/>
      <c r="F1126" s="10"/>
      <c r="G1126" s="10"/>
      <c r="H1126" s="10"/>
      <c r="I1126" s="11"/>
      <c r="J1126" s="11"/>
      <c r="K1126" s="11"/>
      <c r="L1126" s="11"/>
      <c r="M1126" s="10"/>
      <c r="N1126" s="2"/>
      <c r="O1126" s="11"/>
      <c r="P1126" s="11"/>
      <c r="Q1126" s="11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</row>
    <row r="1127">
      <c r="A1127" s="11"/>
      <c r="B1127" s="10"/>
      <c r="C1127" s="15"/>
      <c r="D1127" s="12"/>
      <c r="E1127" s="16"/>
      <c r="F1127" s="10"/>
      <c r="G1127" s="10"/>
      <c r="H1127" s="10"/>
      <c r="I1127" s="11"/>
      <c r="J1127" s="11"/>
      <c r="K1127" s="11"/>
      <c r="L1127" s="11"/>
      <c r="M1127" s="10"/>
      <c r="N1127" s="2"/>
      <c r="O1127" s="11"/>
      <c r="P1127" s="11"/>
      <c r="Q1127" s="11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</row>
    <row r="1128">
      <c r="A1128" s="11"/>
      <c r="B1128" s="10"/>
      <c r="C1128" s="15"/>
      <c r="D1128" s="12"/>
      <c r="E1128" s="16"/>
      <c r="F1128" s="10"/>
      <c r="G1128" s="10"/>
      <c r="H1128" s="10"/>
      <c r="I1128" s="11"/>
      <c r="J1128" s="11"/>
      <c r="K1128" s="11"/>
      <c r="L1128" s="11"/>
      <c r="M1128" s="10"/>
      <c r="N1128" s="2"/>
      <c r="O1128" s="11"/>
      <c r="P1128" s="11"/>
      <c r="Q1128" s="11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</row>
    <row r="1129">
      <c r="A1129" s="11"/>
      <c r="B1129" s="10"/>
      <c r="C1129" s="15"/>
      <c r="D1129" s="12"/>
      <c r="E1129" s="16"/>
      <c r="F1129" s="10"/>
      <c r="G1129" s="10"/>
      <c r="H1129" s="10"/>
      <c r="I1129" s="11"/>
      <c r="J1129" s="11"/>
      <c r="K1129" s="11"/>
      <c r="L1129" s="11"/>
      <c r="M1129" s="10"/>
      <c r="N1129" s="2"/>
      <c r="O1129" s="11"/>
      <c r="P1129" s="11"/>
      <c r="Q1129" s="11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</row>
    <row r="1130">
      <c r="A1130" s="11"/>
      <c r="B1130" s="10"/>
      <c r="C1130" s="15"/>
      <c r="D1130" s="12"/>
      <c r="E1130" s="16"/>
      <c r="F1130" s="10"/>
      <c r="G1130" s="10"/>
      <c r="H1130" s="10"/>
      <c r="I1130" s="11"/>
      <c r="J1130" s="11"/>
      <c r="K1130" s="11"/>
      <c r="L1130" s="11"/>
      <c r="M1130" s="10"/>
      <c r="N1130" s="2"/>
      <c r="O1130" s="11"/>
      <c r="P1130" s="11"/>
      <c r="Q1130" s="11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</row>
    <row r="1131">
      <c r="A1131" s="11"/>
      <c r="B1131" s="10"/>
      <c r="C1131" s="15"/>
      <c r="D1131" s="12"/>
      <c r="E1131" s="16"/>
      <c r="F1131" s="10"/>
      <c r="G1131" s="10"/>
      <c r="H1131" s="10"/>
      <c r="I1131" s="11"/>
      <c r="J1131" s="11"/>
      <c r="K1131" s="11"/>
      <c r="L1131" s="11"/>
      <c r="M1131" s="10"/>
      <c r="N1131" s="2"/>
      <c r="O1131" s="11"/>
      <c r="P1131" s="11"/>
      <c r="Q1131" s="11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</row>
    <row r="1132">
      <c r="A1132" s="11"/>
      <c r="B1132" s="10"/>
      <c r="C1132" s="15"/>
      <c r="D1132" s="12"/>
      <c r="E1132" s="16"/>
      <c r="F1132" s="10"/>
      <c r="G1132" s="10"/>
      <c r="H1132" s="10"/>
      <c r="I1132" s="11"/>
      <c r="J1132" s="11"/>
      <c r="K1132" s="11"/>
      <c r="L1132" s="11"/>
      <c r="M1132" s="10"/>
      <c r="N1132" s="2"/>
      <c r="O1132" s="11"/>
      <c r="P1132" s="11"/>
      <c r="Q1132" s="11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</row>
    <row r="1133">
      <c r="A1133" s="11"/>
      <c r="B1133" s="10"/>
      <c r="C1133" s="15"/>
      <c r="D1133" s="12"/>
      <c r="E1133" s="16"/>
      <c r="F1133" s="10"/>
      <c r="G1133" s="10"/>
      <c r="H1133" s="10"/>
      <c r="I1133" s="11"/>
      <c r="J1133" s="11"/>
      <c r="K1133" s="11"/>
      <c r="L1133" s="11"/>
      <c r="M1133" s="10"/>
      <c r="N1133" s="2"/>
      <c r="O1133" s="11"/>
      <c r="P1133" s="11"/>
      <c r="Q1133" s="11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</row>
    <row r="1134">
      <c r="A1134" s="11"/>
      <c r="B1134" s="10"/>
      <c r="C1134" s="15"/>
      <c r="D1134" s="12"/>
      <c r="E1134" s="16"/>
      <c r="F1134" s="10"/>
      <c r="G1134" s="10"/>
      <c r="H1134" s="10"/>
      <c r="I1134" s="11"/>
      <c r="J1134" s="11"/>
      <c r="K1134" s="11"/>
      <c r="L1134" s="11"/>
      <c r="M1134" s="10"/>
      <c r="N1134" s="2"/>
      <c r="O1134" s="11"/>
      <c r="P1134" s="11"/>
      <c r="Q1134" s="11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</row>
    <row r="1135">
      <c r="A1135" s="11"/>
      <c r="B1135" s="10"/>
      <c r="C1135" s="15"/>
      <c r="D1135" s="12"/>
      <c r="E1135" s="16"/>
      <c r="F1135" s="10"/>
      <c r="G1135" s="10"/>
      <c r="H1135" s="10"/>
      <c r="I1135" s="11"/>
      <c r="J1135" s="11"/>
      <c r="K1135" s="11"/>
      <c r="L1135" s="11"/>
      <c r="M1135" s="10"/>
      <c r="N1135" s="2"/>
      <c r="O1135" s="11"/>
      <c r="P1135" s="11"/>
      <c r="Q1135" s="11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</row>
    <row r="1136">
      <c r="A1136" s="11"/>
      <c r="B1136" s="10"/>
      <c r="C1136" s="15"/>
      <c r="D1136" s="12"/>
      <c r="E1136" s="16"/>
      <c r="F1136" s="10"/>
      <c r="G1136" s="10"/>
      <c r="H1136" s="10"/>
      <c r="I1136" s="11"/>
      <c r="J1136" s="11"/>
      <c r="K1136" s="11"/>
      <c r="L1136" s="11"/>
      <c r="M1136" s="10"/>
      <c r="N1136" s="2"/>
      <c r="O1136" s="11"/>
      <c r="P1136" s="11"/>
      <c r="Q1136" s="11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</row>
    <row r="1137">
      <c r="A1137" s="11"/>
      <c r="B1137" s="10"/>
      <c r="C1137" s="15"/>
      <c r="D1137" s="12"/>
      <c r="E1137" s="16"/>
      <c r="F1137" s="10"/>
      <c r="G1137" s="10"/>
      <c r="H1137" s="10"/>
      <c r="I1137" s="11"/>
      <c r="J1137" s="11"/>
      <c r="K1137" s="11"/>
      <c r="L1137" s="11"/>
      <c r="M1137" s="10"/>
      <c r="N1137" s="2"/>
      <c r="O1137" s="11"/>
      <c r="P1137" s="11"/>
      <c r="Q1137" s="11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</row>
    <row r="1138">
      <c r="A1138" s="11"/>
      <c r="B1138" s="10"/>
      <c r="C1138" s="15"/>
      <c r="D1138" s="12"/>
      <c r="E1138" s="16"/>
      <c r="F1138" s="10"/>
      <c r="G1138" s="10"/>
      <c r="H1138" s="10"/>
      <c r="I1138" s="11"/>
      <c r="J1138" s="11"/>
      <c r="K1138" s="11"/>
      <c r="L1138" s="11"/>
      <c r="M1138" s="10"/>
      <c r="N1138" s="2"/>
      <c r="O1138" s="11"/>
      <c r="P1138" s="11"/>
      <c r="Q1138" s="11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</row>
    <row r="1139">
      <c r="A1139" s="11"/>
      <c r="B1139" s="10"/>
      <c r="C1139" s="15"/>
      <c r="D1139" s="12"/>
      <c r="E1139" s="16"/>
      <c r="F1139" s="10"/>
      <c r="G1139" s="10"/>
      <c r="H1139" s="10"/>
      <c r="I1139" s="11"/>
      <c r="J1139" s="11"/>
      <c r="K1139" s="11"/>
      <c r="L1139" s="11"/>
      <c r="M1139" s="10"/>
      <c r="N1139" s="2"/>
      <c r="O1139" s="11"/>
      <c r="P1139" s="11"/>
      <c r="Q1139" s="11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</row>
    <row r="1140">
      <c r="A1140" s="11"/>
      <c r="B1140" s="10"/>
      <c r="C1140" s="15"/>
      <c r="D1140" s="12"/>
      <c r="E1140" s="16"/>
      <c r="F1140" s="10"/>
      <c r="G1140" s="10"/>
      <c r="H1140" s="10"/>
      <c r="I1140" s="11"/>
      <c r="J1140" s="11"/>
      <c r="K1140" s="11"/>
      <c r="L1140" s="11"/>
      <c r="M1140" s="10"/>
      <c r="N1140" s="2"/>
      <c r="O1140" s="11"/>
      <c r="P1140" s="11"/>
      <c r="Q1140" s="11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</row>
    <row r="1141">
      <c r="A1141" s="11"/>
      <c r="B1141" s="10"/>
      <c r="C1141" s="15"/>
      <c r="D1141" s="12"/>
      <c r="E1141" s="16"/>
      <c r="F1141" s="10"/>
      <c r="G1141" s="10"/>
      <c r="H1141" s="10"/>
      <c r="I1141" s="11"/>
      <c r="J1141" s="11"/>
      <c r="K1141" s="11"/>
      <c r="L1141" s="11"/>
      <c r="M1141" s="10"/>
      <c r="N1141" s="2"/>
      <c r="O1141" s="11"/>
      <c r="P1141" s="11"/>
      <c r="Q1141" s="11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</row>
    <row r="1142">
      <c r="A1142" s="11"/>
      <c r="B1142" s="10"/>
      <c r="C1142" s="15"/>
      <c r="D1142" s="12"/>
      <c r="E1142" s="16"/>
      <c r="F1142" s="10"/>
      <c r="G1142" s="10"/>
      <c r="H1142" s="10"/>
      <c r="I1142" s="11"/>
      <c r="J1142" s="11"/>
      <c r="K1142" s="11"/>
      <c r="L1142" s="11"/>
      <c r="M1142" s="10"/>
      <c r="N1142" s="2"/>
      <c r="O1142" s="11"/>
      <c r="P1142" s="11"/>
      <c r="Q1142" s="11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</row>
    <row r="1143">
      <c r="A1143" s="11"/>
      <c r="B1143" s="10"/>
      <c r="C1143" s="15"/>
      <c r="D1143" s="12"/>
      <c r="E1143" s="16"/>
      <c r="F1143" s="10"/>
      <c r="G1143" s="10"/>
      <c r="H1143" s="10"/>
      <c r="I1143" s="11"/>
      <c r="J1143" s="11"/>
      <c r="K1143" s="11"/>
      <c r="L1143" s="11"/>
      <c r="M1143" s="10"/>
      <c r="N1143" s="2"/>
      <c r="O1143" s="11"/>
      <c r="P1143" s="11"/>
      <c r="Q1143" s="11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</row>
    <row r="1144">
      <c r="A1144" s="11"/>
      <c r="B1144" s="10"/>
      <c r="C1144" s="15"/>
      <c r="D1144" s="12"/>
      <c r="E1144" s="16"/>
      <c r="F1144" s="10"/>
      <c r="G1144" s="10"/>
      <c r="H1144" s="10"/>
      <c r="I1144" s="11"/>
      <c r="J1144" s="11"/>
      <c r="K1144" s="11"/>
      <c r="L1144" s="11"/>
      <c r="M1144" s="10"/>
      <c r="N1144" s="2"/>
      <c r="O1144" s="11"/>
      <c r="P1144" s="11"/>
      <c r="Q1144" s="11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</row>
    <row r="1145">
      <c r="A1145" s="11"/>
      <c r="B1145" s="10"/>
      <c r="C1145" s="15"/>
      <c r="D1145" s="12"/>
      <c r="E1145" s="16"/>
      <c r="F1145" s="10"/>
      <c r="G1145" s="10"/>
      <c r="H1145" s="10"/>
      <c r="I1145" s="11"/>
      <c r="J1145" s="11"/>
      <c r="K1145" s="11"/>
      <c r="L1145" s="11"/>
      <c r="M1145" s="10"/>
      <c r="N1145" s="2"/>
      <c r="O1145" s="11"/>
      <c r="P1145" s="11"/>
      <c r="Q1145" s="11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</row>
    <row r="1146">
      <c r="A1146" s="11"/>
      <c r="B1146" s="10"/>
      <c r="C1146" s="15"/>
      <c r="D1146" s="12"/>
      <c r="E1146" s="16"/>
      <c r="F1146" s="10"/>
      <c r="G1146" s="10"/>
      <c r="H1146" s="10"/>
      <c r="I1146" s="11"/>
      <c r="J1146" s="11"/>
      <c r="K1146" s="11"/>
      <c r="L1146" s="11"/>
      <c r="M1146" s="10"/>
      <c r="N1146" s="2"/>
      <c r="O1146" s="11"/>
      <c r="P1146" s="11"/>
      <c r="Q1146" s="11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</row>
    <row r="1147">
      <c r="A1147" s="11"/>
      <c r="B1147" s="10"/>
      <c r="C1147" s="15"/>
      <c r="D1147" s="12"/>
      <c r="E1147" s="16"/>
      <c r="F1147" s="10"/>
      <c r="G1147" s="10"/>
      <c r="H1147" s="10"/>
      <c r="I1147" s="11"/>
      <c r="J1147" s="11"/>
      <c r="K1147" s="11"/>
      <c r="L1147" s="11"/>
      <c r="M1147" s="10"/>
      <c r="N1147" s="2"/>
      <c r="O1147" s="11"/>
      <c r="P1147" s="11"/>
      <c r="Q1147" s="11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</row>
    <row r="1148">
      <c r="A1148" s="11"/>
      <c r="B1148" s="10"/>
      <c r="C1148" s="15"/>
      <c r="D1148" s="12"/>
      <c r="E1148" s="16"/>
      <c r="F1148" s="10"/>
      <c r="G1148" s="10"/>
      <c r="H1148" s="10"/>
      <c r="I1148" s="11"/>
      <c r="J1148" s="11"/>
      <c r="K1148" s="11"/>
      <c r="L1148" s="11"/>
      <c r="M1148" s="10"/>
      <c r="N1148" s="2"/>
      <c r="O1148" s="11"/>
      <c r="P1148" s="11"/>
      <c r="Q1148" s="11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</row>
    <row r="1149">
      <c r="A1149" s="11"/>
      <c r="B1149" s="10"/>
      <c r="C1149" s="15"/>
      <c r="D1149" s="12"/>
      <c r="E1149" s="16"/>
      <c r="F1149" s="10"/>
      <c r="G1149" s="10"/>
      <c r="H1149" s="10"/>
      <c r="I1149" s="11"/>
      <c r="J1149" s="11"/>
      <c r="K1149" s="11"/>
      <c r="L1149" s="11"/>
      <c r="M1149" s="10"/>
      <c r="N1149" s="2"/>
      <c r="O1149" s="11"/>
      <c r="P1149" s="11"/>
      <c r="Q1149" s="11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</row>
    <row r="1150">
      <c r="A1150" s="11"/>
      <c r="B1150" s="10"/>
      <c r="C1150" s="15"/>
      <c r="D1150" s="12"/>
      <c r="E1150" s="16"/>
      <c r="F1150" s="10"/>
      <c r="G1150" s="10"/>
      <c r="H1150" s="10"/>
      <c r="I1150" s="11"/>
      <c r="J1150" s="11"/>
      <c r="K1150" s="11"/>
      <c r="L1150" s="11"/>
      <c r="M1150" s="10"/>
      <c r="N1150" s="2"/>
      <c r="O1150" s="11"/>
      <c r="P1150" s="11"/>
      <c r="Q1150" s="11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</row>
    <row r="1151">
      <c r="A1151" s="11"/>
      <c r="B1151" s="10"/>
      <c r="C1151" s="15"/>
      <c r="D1151" s="12"/>
      <c r="E1151" s="16"/>
      <c r="F1151" s="10"/>
      <c r="G1151" s="10"/>
      <c r="H1151" s="10"/>
      <c r="I1151" s="11"/>
      <c r="J1151" s="11"/>
      <c r="K1151" s="11"/>
      <c r="L1151" s="11"/>
      <c r="M1151" s="10"/>
      <c r="N1151" s="2"/>
      <c r="O1151" s="11"/>
      <c r="P1151" s="11"/>
      <c r="Q1151" s="11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</row>
    <row r="1152">
      <c r="A1152" s="11"/>
      <c r="B1152" s="10"/>
      <c r="C1152" s="15"/>
      <c r="D1152" s="12"/>
      <c r="E1152" s="16"/>
      <c r="F1152" s="10"/>
      <c r="G1152" s="10"/>
      <c r="H1152" s="10"/>
      <c r="I1152" s="11"/>
      <c r="J1152" s="11"/>
      <c r="K1152" s="11"/>
      <c r="L1152" s="11"/>
      <c r="M1152" s="10"/>
      <c r="N1152" s="2"/>
      <c r="O1152" s="11"/>
      <c r="P1152" s="11"/>
      <c r="Q1152" s="11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</row>
    <row r="1153">
      <c r="A1153" s="11"/>
      <c r="B1153" s="10"/>
      <c r="C1153" s="15"/>
      <c r="D1153" s="12"/>
      <c r="E1153" s="16"/>
      <c r="F1153" s="10"/>
      <c r="G1153" s="10"/>
      <c r="H1153" s="10"/>
      <c r="I1153" s="11"/>
      <c r="J1153" s="11"/>
      <c r="K1153" s="11"/>
      <c r="L1153" s="11"/>
      <c r="M1153" s="10"/>
      <c r="N1153" s="2"/>
      <c r="O1153" s="11"/>
      <c r="P1153" s="11"/>
      <c r="Q1153" s="11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</row>
    <row r="1154">
      <c r="A1154" s="11"/>
      <c r="B1154" s="10"/>
      <c r="C1154" s="15"/>
      <c r="D1154" s="12"/>
      <c r="E1154" s="16"/>
      <c r="F1154" s="10"/>
      <c r="G1154" s="10"/>
      <c r="H1154" s="10"/>
      <c r="I1154" s="11"/>
      <c r="J1154" s="11"/>
      <c r="K1154" s="11"/>
      <c r="L1154" s="11"/>
      <c r="M1154" s="10"/>
      <c r="N1154" s="2"/>
      <c r="O1154" s="11"/>
      <c r="P1154" s="11"/>
      <c r="Q1154" s="11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</row>
    <row r="1155">
      <c r="A1155" s="11"/>
      <c r="B1155" s="10"/>
      <c r="C1155" s="15"/>
      <c r="D1155" s="12"/>
      <c r="E1155" s="16"/>
      <c r="F1155" s="10"/>
      <c r="G1155" s="10"/>
      <c r="H1155" s="10"/>
      <c r="I1155" s="11"/>
      <c r="J1155" s="11"/>
      <c r="K1155" s="11"/>
      <c r="L1155" s="11"/>
      <c r="M1155" s="10"/>
      <c r="N1155" s="2"/>
      <c r="O1155" s="11"/>
      <c r="P1155" s="11"/>
      <c r="Q1155" s="11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</row>
    <row r="1156">
      <c r="A1156" s="11"/>
      <c r="B1156" s="10"/>
      <c r="C1156" s="15"/>
      <c r="D1156" s="12"/>
      <c r="E1156" s="16"/>
      <c r="F1156" s="10"/>
      <c r="G1156" s="10"/>
      <c r="H1156" s="10"/>
      <c r="I1156" s="11"/>
      <c r="J1156" s="11"/>
      <c r="K1156" s="11"/>
      <c r="L1156" s="11"/>
      <c r="M1156" s="10"/>
      <c r="N1156" s="2"/>
      <c r="O1156" s="11"/>
      <c r="P1156" s="11"/>
      <c r="Q1156" s="11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</row>
    <row r="1157">
      <c r="A1157" s="11"/>
      <c r="B1157" s="10"/>
      <c r="C1157" s="15"/>
      <c r="D1157" s="12"/>
      <c r="E1157" s="16"/>
      <c r="F1157" s="10"/>
      <c r="G1157" s="10"/>
      <c r="H1157" s="10"/>
      <c r="I1157" s="11"/>
      <c r="J1157" s="11"/>
      <c r="K1157" s="11"/>
      <c r="L1157" s="11"/>
      <c r="M1157" s="10"/>
      <c r="N1157" s="2"/>
      <c r="O1157" s="11"/>
      <c r="P1157" s="11"/>
      <c r="Q1157" s="11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</row>
    <row r="1158">
      <c r="A1158" s="11"/>
      <c r="B1158" s="10"/>
      <c r="C1158" s="15"/>
      <c r="D1158" s="12"/>
      <c r="E1158" s="16"/>
      <c r="F1158" s="10"/>
      <c r="G1158" s="10"/>
      <c r="H1158" s="10"/>
      <c r="I1158" s="11"/>
      <c r="J1158" s="11"/>
      <c r="K1158" s="11"/>
      <c r="L1158" s="11"/>
      <c r="M1158" s="10"/>
      <c r="N1158" s="2"/>
      <c r="O1158" s="11"/>
      <c r="P1158" s="11"/>
      <c r="Q1158" s="11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</row>
    <row r="1159">
      <c r="A1159" s="11"/>
      <c r="B1159" s="10"/>
      <c r="C1159" s="15"/>
      <c r="D1159" s="12"/>
      <c r="E1159" s="16"/>
      <c r="F1159" s="10"/>
      <c r="G1159" s="10"/>
      <c r="H1159" s="10"/>
      <c r="I1159" s="11"/>
      <c r="J1159" s="11"/>
      <c r="K1159" s="11"/>
      <c r="L1159" s="11"/>
      <c r="M1159" s="10"/>
      <c r="N1159" s="2"/>
      <c r="O1159" s="11"/>
      <c r="P1159" s="11"/>
      <c r="Q1159" s="11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</row>
    <row r="1160">
      <c r="A1160" s="11"/>
      <c r="B1160" s="10"/>
      <c r="C1160" s="15"/>
      <c r="D1160" s="12"/>
      <c r="E1160" s="16"/>
      <c r="F1160" s="10"/>
      <c r="G1160" s="10"/>
      <c r="H1160" s="10"/>
      <c r="I1160" s="11"/>
      <c r="J1160" s="11"/>
      <c r="K1160" s="11"/>
      <c r="L1160" s="11"/>
      <c r="M1160" s="10"/>
      <c r="N1160" s="2"/>
      <c r="O1160" s="11"/>
      <c r="P1160" s="11"/>
      <c r="Q1160" s="11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</row>
    <row r="1161">
      <c r="A1161" s="11"/>
      <c r="B1161" s="10"/>
      <c r="C1161" s="15"/>
      <c r="D1161" s="12"/>
      <c r="E1161" s="16"/>
      <c r="F1161" s="10"/>
      <c r="G1161" s="10"/>
      <c r="H1161" s="10"/>
      <c r="I1161" s="11"/>
      <c r="J1161" s="11"/>
      <c r="K1161" s="11"/>
      <c r="L1161" s="11"/>
      <c r="M1161" s="10"/>
      <c r="N1161" s="2"/>
      <c r="O1161" s="11"/>
      <c r="P1161" s="11"/>
      <c r="Q1161" s="11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</row>
    <row r="1162">
      <c r="A1162" s="11"/>
      <c r="B1162" s="10"/>
      <c r="C1162" s="15"/>
      <c r="D1162" s="12"/>
      <c r="E1162" s="16"/>
      <c r="F1162" s="10"/>
      <c r="G1162" s="10"/>
      <c r="H1162" s="10"/>
      <c r="I1162" s="11"/>
      <c r="J1162" s="11"/>
      <c r="K1162" s="11"/>
      <c r="L1162" s="11"/>
      <c r="M1162" s="10"/>
      <c r="N1162" s="2"/>
      <c r="O1162" s="11"/>
      <c r="P1162" s="11"/>
      <c r="Q1162" s="11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</row>
    <row r="1163">
      <c r="A1163" s="11"/>
      <c r="B1163" s="10"/>
      <c r="C1163" s="15"/>
      <c r="D1163" s="12"/>
      <c r="E1163" s="16"/>
      <c r="F1163" s="10"/>
      <c r="G1163" s="10"/>
      <c r="H1163" s="10"/>
      <c r="I1163" s="11"/>
      <c r="J1163" s="11"/>
      <c r="K1163" s="11"/>
      <c r="L1163" s="11"/>
      <c r="M1163" s="10"/>
      <c r="N1163" s="2"/>
      <c r="O1163" s="11"/>
      <c r="P1163" s="11"/>
      <c r="Q1163" s="11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</row>
    <row r="1164">
      <c r="A1164" s="11"/>
      <c r="B1164" s="10"/>
      <c r="C1164" s="15"/>
      <c r="D1164" s="12"/>
      <c r="E1164" s="16"/>
      <c r="F1164" s="10"/>
      <c r="G1164" s="10"/>
      <c r="H1164" s="10"/>
      <c r="I1164" s="11"/>
      <c r="J1164" s="11"/>
      <c r="K1164" s="11"/>
      <c r="L1164" s="11"/>
      <c r="M1164" s="10"/>
      <c r="N1164" s="2"/>
      <c r="O1164" s="11"/>
      <c r="P1164" s="11"/>
      <c r="Q1164" s="11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</row>
    <row r="1165">
      <c r="A1165" s="11"/>
      <c r="B1165" s="10"/>
      <c r="C1165" s="15"/>
      <c r="D1165" s="12"/>
      <c r="E1165" s="16"/>
      <c r="F1165" s="10"/>
      <c r="G1165" s="10"/>
      <c r="H1165" s="10"/>
      <c r="I1165" s="11"/>
      <c r="J1165" s="11"/>
      <c r="K1165" s="11"/>
      <c r="L1165" s="11"/>
      <c r="M1165" s="10"/>
      <c r="N1165" s="2"/>
      <c r="O1165" s="11"/>
      <c r="P1165" s="11"/>
      <c r="Q1165" s="11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</row>
    <row r="1166">
      <c r="A1166" s="11"/>
      <c r="B1166" s="10"/>
      <c r="C1166" s="15"/>
      <c r="D1166" s="12"/>
      <c r="E1166" s="16"/>
      <c r="F1166" s="10"/>
      <c r="G1166" s="10"/>
      <c r="H1166" s="10"/>
      <c r="I1166" s="11"/>
      <c r="J1166" s="11"/>
      <c r="K1166" s="11"/>
      <c r="L1166" s="11"/>
      <c r="M1166" s="10"/>
      <c r="N1166" s="2"/>
      <c r="O1166" s="11"/>
      <c r="P1166" s="11"/>
      <c r="Q1166" s="11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</row>
    <row r="1167">
      <c r="A1167" s="11"/>
      <c r="B1167" s="10"/>
      <c r="C1167" s="15"/>
      <c r="D1167" s="12"/>
      <c r="E1167" s="16"/>
      <c r="F1167" s="10"/>
      <c r="G1167" s="10"/>
      <c r="H1167" s="10"/>
      <c r="I1167" s="11"/>
      <c r="J1167" s="11"/>
      <c r="K1167" s="11"/>
      <c r="L1167" s="11"/>
      <c r="M1167" s="10"/>
      <c r="N1167" s="2"/>
      <c r="O1167" s="11"/>
      <c r="P1167" s="11"/>
      <c r="Q1167" s="11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</row>
    <row r="1168">
      <c r="A1168" s="11"/>
      <c r="B1168" s="10"/>
      <c r="C1168" s="15"/>
      <c r="D1168" s="12"/>
      <c r="E1168" s="16"/>
      <c r="F1168" s="10"/>
      <c r="G1168" s="10"/>
      <c r="H1168" s="10"/>
      <c r="I1168" s="11"/>
      <c r="J1168" s="11"/>
      <c r="K1168" s="11"/>
      <c r="L1168" s="11"/>
      <c r="M1168" s="10"/>
      <c r="N1168" s="2"/>
      <c r="O1168" s="11"/>
      <c r="P1168" s="11"/>
      <c r="Q1168" s="11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</row>
    <row r="1169">
      <c r="A1169" s="11"/>
      <c r="B1169" s="10"/>
      <c r="C1169" s="15"/>
      <c r="D1169" s="12"/>
      <c r="E1169" s="16"/>
      <c r="F1169" s="10"/>
      <c r="G1169" s="10"/>
      <c r="H1169" s="10"/>
      <c r="I1169" s="11"/>
      <c r="J1169" s="11"/>
      <c r="K1169" s="11"/>
      <c r="L1169" s="11"/>
      <c r="M1169" s="10"/>
      <c r="N1169" s="2"/>
      <c r="O1169" s="11"/>
      <c r="P1169" s="11"/>
      <c r="Q1169" s="11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</row>
    <row r="1170">
      <c r="A1170" s="11"/>
      <c r="B1170" s="10"/>
      <c r="C1170" s="15"/>
      <c r="D1170" s="12"/>
      <c r="E1170" s="16"/>
      <c r="F1170" s="10"/>
      <c r="G1170" s="10"/>
      <c r="H1170" s="10"/>
      <c r="I1170" s="11"/>
      <c r="J1170" s="11"/>
      <c r="K1170" s="11"/>
      <c r="L1170" s="11"/>
      <c r="M1170" s="10"/>
      <c r="N1170" s="2"/>
      <c r="O1170" s="11"/>
      <c r="P1170" s="11"/>
      <c r="Q1170" s="11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</row>
    <row r="1171">
      <c r="A1171" s="11"/>
      <c r="B1171" s="10"/>
      <c r="C1171" s="15"/>
      <c r="D1171" s="12"/>
      <c r="E1171" s="16"/>
      <c r="F1171" s="10"/>
      <c r="G1171" s="10"/>
      <c r="H1171" s="10"/>
      <c r="I1171" s="11"/>
      <c r="J1171" s="11"/>
      <c r="K1171" s="11"/>
      <c r="L1171" s="11"/>
      <c r="M1171" s="10"/>
      <c r="N1171" s="2"/>
      <c r="O1171" s="11"/>
      <c r="P1171" s="11"/>
      <c r="Q1171" s="11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</row>
    <row r="1172">
      <c r="A1172" s="11"/>
      <c r="B1172" s="10"/>
      <c r="C1172" s="15"/>
      <c r="D1172" s="12"/>
      <c r="E1172" s="16"/>
      <c r="F1172" s="10"/>
      <c r="G1172" s="10"/>
      <c r="H1172" s="10"/>
      <c r="I1172" s="11"/>
      <c r="J1172" s="11"/>
      <c r="K1172" s="11"/>
      <c r="L1172" s="11"/>
      <c r="M1172" s="10"/>
      <c r="N1172" s="2"/>
      <c r="O1172" s="11"/>
      <c r="P1172" s="11"/>
      <c r="Q1172" s="11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</row>
    <row r="1173">
      <c r="A1173" s="11"/>
      <c r="B1173" s="10"/>
      <c r="C1173" s="15"/>
      <c r="D1173" s="12"/>
      <c r="E1173" s="16"/>
      <c r="F1173" s="10"/>
      <c r="G1173" s="10"/>
      <c r="H1173" s="10"/>
      <c r="I1173" s="11"/>
      <c r="J1173" s="11"/>
      <c r="K1173" s="11"/>
      <c r="L1173" s="11"/>
      <c r="M1173" s="10"/>
      <c r="N1173" s="2"/>
      <c r="O1173" s="11"/>
      <c r="P1173" s="11"/>
      <c r="Q1173" s="11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</row>
    <row r="1174">
      <c r="A1174" s="11"/>
      <c r="B1174" s="10"/>
      <c r="C1174" s="15"/>
      <c r="D1174" s="12"/>
      <c r="E1174" s="16"/>
      <c r="F1174" s="10"/>
      <c r="G1174" s="10"/>
      <c r="H1174" s="10"/>
      <c r="I1174" s="11"/>
      <c r="J1174" s="11"/>
      <c r="K1174" s="11"/>
      <c r="L1174" s="11"/>
      <c r="M1174" s="10"/>
      <c r="N1174" s="2"/>
      <c r="O1174" s="11"/>
      <c r="P1174" s="11"/>
      <c r="Q1174" s="11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</row>
    <row r="1175">
      <c r="A1175" s="11"/>
      <c r="B1175" s="10"/>
      <c r="C1175" s="15"/>
      <c r="D1175" s="12"/>
      <c r="E1175" s="16"/>
      <c r="F1175" s="10"/>
      <c r="G1175" s="10"/>
      <c r="H1175" s="10"/>
      <c r="I1175" s="11"/>
      <c r="J1175" s="11"/>
      <c r="K1175" s="11"/>
      <c r="L1175" s="11"/>
      <c r="M1175" s="10"/>
      <c r="N1175" s="2"/>
      <c r="O1175" s="11"/>
      <c r="P1175" s="11"/>
      <c r="Q1175" s="11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</row>
    <row r="1176">
      <c r="A1176" s="11"/>
      <c r="B1176" s="10"/>
      <c r="C1176" s="15"/>
      <c r="D1176" s="12"/>
      <c r="E1176" s="16"/>
      <c r="F1176" s="10"/>
      <c r="G1176" s="10"/>
      <c r="H1176" s="10"/>
      <c r="I1176" s="11"/>
      <c r="J1176" s="11"/>
      <c r="K1176" s="11"/>
      <c r="L1176" s="11"/>
      <c r="M1176" s="10"/>
      <c r="N1176" s="2"/>
      <c r="O1176" s="11"/>
      <c r="P1176" s="11"/>
      <c r="Q1176" s="11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</row>
    <row r="1177">
      <c r="A1177" s="11"/>
      <c r="B1177" s="10"/>
      <c r="C1177" s="15"/>
      <c r="D1177" s="12"/>
      <c r="E1177" s="16"/>
      <c r="F1177" s="10"/>
      <c r="G1177" s="10"/>
      <c r="H1177" s="10"/>
      <c r="I1177" s="11"/>
      <c r="J1177" s="11"/>
      <c r="K1177" s="11"/>
      <c r="L1177" s="11"/>
      <c r="M1177" s="10"/>
      <c r="N1177" s="2"/>
      <c r="O1177" s="11"/>
      <c r="P1177" s="11"/>
      <c r="Q1177" s="11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</row>
    <row r="1178">
      <c r="A1178" s="11"/>
      <c r="B1178" s="10"/>
      <c r="C1178" s="15"/>
      <c r="D1178" s="12"/>
      <c r="E1178" s="16"/>
      <c r="F1178" s="10"/>
      <c r="G1178" s="10"/>
      <c r="H1178" s="10"/>
      <c r="I1178" s="11"/>
      <c r="J1178" s="11"/>
      <c r="K1178" s="11"/>
      <c r="L1178" s="11"/>
      <c r="M1178" s="10"/>
      <c r="N1178" s="2"/>
      <c r="O1178" s="11"/>
      <c r="P1178" s="11"/>
      <c r="Q1178" s="11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</row>
    <row r="1179">
      <c r="A1179" s="11"/>
      <c r="B1179" s="10"/>
      <c r="C1179" s="15"/>
      <c r="D1179" s="12"/>
      <c r="E1179" s="16"/>
      <c r="F1179" s="10"/>
      <c r="G1179" s="10"/>
      <c r="H1179" s="10"/>
      <c r="I1179" s="11"/>
      <c r="J1179" s="11"/>
      <c r="K1179" s="11"/>
      <c r="L1179" s="11"/>
      <c r="M1179" s="10"/>
      <c r="N1179" s="2"/>
      <c r="O1179" s="11"/>
      <c r="P1179" s="11"/>
      <c r="Q1179" s="11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</row>
    <row r="1180">
      <c r="A1180" s="11"/>
      <c r="B1180" s="10"/>
      <c r="C1180" s="15"/>
      <c r="D1180" s="12"/>
      <c r="E1180" s="16"/>
      <c r="F1180" s="10"/>
      <c r="G1180" s="10"/>
      <c r="H1180" s="10"/>
      <c r="I1180" s="11"/>
      <c r="J1180" s="11"/>
      <c r="K1180" s="11"/>
      <c r="L1180" s="11"/>
      <c r="M1180" s="10"/>
      <c r="N1180" s="2"/>
      <c r="O1180" s="11"/>
      <c r="P1180" s="11"/>
      <c r="Q1180" s="11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</row>
    <row r="1181">
      <c r="A1181" s="11"/>
      <c r="B1181" s="10"/>
      <c r="C1181" s="15"/>
      <c r="D1181" s="12"/>
      <c r="E1181" s="16"/>
      <c r="F1181" s="10"/>
      <c r="G1181" s="10"/>
      <c r="H1181" s="10"/>
      <c r="I1181" s="11"/>
      <c r="J1181" s="11"/>
      <c r="K1181" s="11"/>
      <c r="L1181" s="11"/>
      <c r="M1181" s="10"/>
      <c r="N1181" s="2"/>
      <c r="O1181" s="11"/>
      <c r="P1181" s="11"/>
      <c r="Q1181" s="11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</row>
    <row r="1182">
      <c r="A1182" s="11"/>
      <c r="B1182" s="10"/>
      <c r="C1182" s="15"/>
      <c r="D1182" s="12"/>
      <c r="E1182" s="16"/>
      <c r="F1182" s="10"/>
      <c r="G1182" s="10"/>
      <c r="H1182" s="10"/>
      <c r="I1182" s="11"/>
      <c r="J1182" s="11"/>
      <c r="K1182" s="11"/>
      <c r="L1182" s="11"/>
      <c r="M1182" s="10"/>
      <c r="N1182" s="2"/>
      <c r="O1182" s="11"/>
      <c r="P1182" s="11"/>
      <c r="Q1182" s="11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</row>
    <row r="1183">
      <c r="A1183" s="11"/>
      <c r="B1183" s="10"/>
      <c r="C1183" s="15"/>
      <c r="D1183" s="12"/>
      <c r="E1183" s="16"/>
      <c r="F1183" s="10"/>
      <c r="G1183" s="10"/>
      <c r="H1183" s="10"/>
      <c r="I1183" s="11"/>
      <c r="J1183" s="11"/>
      <c r="K1183" s="11"/>
      <c r="L1183" s="11"/>
      <c r="M1183" s="10"/>
      <c r="N1183" s="2"/>
      <c r="O1183" s="11"/>
      <c r="P1183" s="11"/>
      <c r="Q1183" s="11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</row>
    <row r="1184">
      <c r="A1184" s="11"/>
      <c r="B1184" s="10"/>
      <c r="C1184" s="15"/>
      <c r="D1184" s="12"/>
      <c r="E1184" s="16"/>
      <c r="F1184" s="10"/>
      <c r="G1184" s="10"/>
      <c r="H1184" s="10"/>
      <c r="I1184" s="11"/>
      <c r="J1184" s="11"/>
      <c r="K1184" s="11"/>
      <c r="L1184" s="11"/>
      <c r="M1184" s="10"/>
      <c r="N1184" s="2"/>
      <c r="O1184" s="11"/>
      <c r="P1184" s="11"/>
      <c r="Q1184" s="11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</row>
    <row r="1185">
      <c r="A1185" s="11"/>
      <c r="B1185" s="10"/>
      <c r="C1185" s="15"/>
      <c r="D1185" s="12"/>
      <c r="E1185" s="16"/>
      <c r="F1185" s="10"/>
      <c r="G1185" s="10"/>
      <c r="H1185" s="10"/>
      <c r="I1185" s="11"/>
      <c r="J1185" s="11"/>
      <c r="K1185" s="11"/>
      <c r="L1185" s="11"/>
      <c r="M1185" s="10"/>
      <c r="N1185" s="2"/>
      <c r="O1185" s="11"/>
      <c r="P1185" s="11"/>
      <c r="Q1185" s="11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</row>
    <row r="1186">
      <c r="A1186" s="11"/>
      <c r="B1186" s="10"/>
      <c r="C1186" s="15"/>
      <c r="D1186" s="12"/>
      <c r="E1186" s="16"/>
      <c r="F1186" s="10"/>
      <c r="G1186" s="10"/>
      <c r="H1186" s="10"/>
      <c r="I1186" s="11"/>
      <c r="J1186" s="11"/>
      <c r="K1186" s="11"/>
      <c r="L1186" s="11"/>
      <c r="M1186" s="10"/>
      <c r="N1186" s="2"/>
      <c r="O1186" s="11"/>
      <c r="P1186" s="11"/>
      <c r="Q1186" s="11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</row>
    <row r="1187">
      <c r="A1187" s="11"/>
      <c r="B1187" s="10"/>
      <c r="C1187" s="15"/>
      <c r="D1187" s="12"/>
      <c r="E1187" s="16"/>
      <c r="F1187" s="10"/>
      <c r="G1187" s="10"/>
      <c r="H1187" s="10"/>
      <c r="I1187" s="11"/>
      <c r="J1187" s="11"/>
      <c r="K1187" s="11"/>
      <c r="L1187" s="11"/>
      <c r="M1187" s="10"/>
      <c r="N1187" s="2"/>
      <c r="O1187" s="11"/>
      <c r="P1187" s="11"/>
      <c r="Q1187" s="11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</row>
    <row r="1188">
      <c r="A1188" s="11"/>
      <c r="B1188" s="10"/>
      <c r="C1188" s="15"/>
      <c r="D1188" s="12"/>
      <c r="E1188" s="16"/>
      <c r="F1188" s="10"/>
      <c r="G1188" s="10"/>
      <c r="H1188" s="10"/>
      <c r="I1188" s="11"/>
      <c r="J1188" s="11"/>
      <c r="K1188" s="11"/>
      <c r="L1188" s="11"/>
      <c r="M1188" s="10"/>
      <c r="N1188" s="2"/>
      <c r="O1188" s="11"/>
      <c r="P1188" s="11"/>
      <c r="Q1188" s="11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</row>
    <row r="1189">
      <c r="A1189" s="11"/>
      <c r="B1189" s="10"/>
      <c r="C1189" s="15"/>
      <c r="D1189" s="12"/>
      <c r="E1189" s="16"/>
      <c r="F1189" s="10"/>
      <c r="G1189" s="10"/>
      <c r="H1189" s="10"/>
      <c r="I1189" s="11"/>
      <c r="J1189" s="11"/>
      <c r="K1189" s="11"/>
      <c r="L1189" s="11"/>
      <c r="M1189" s="10"/>
      <c r="N1189" s="2"/>
      <c r="O1189" s="11"/>
      <c r="P1189" s="11"/>
      <c r="Q1189" s="11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</row>
    <row r="1190">
      <c r="A1190" s="11"/>
      <c r="B1190" s="10"/>
      <c r="C1190" s="15"/>
      <c r="D1190" s="12"/>
      <c r="E1190" s="16"/>
      <c r="F1190" s="10"/>
      <c r="G1190" s="10"/>
      <c r="H1190" s="10"/>
      <c r="I1190" s="11"/>
      <c r="J1190" s="11"/>
      <c r="K1190" s="11"/>
      <c r="L1190" s="11"/>
      <c r="M1190" s="10"/>
      <c r="N1190" s="2"/>
      <c r="O1190" s="11"/>
      <c r="P1190" s="11"/>
      <c r="Q1190" s="11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</row>
    <row r="1191">
      <c r="A1191" s="11"/>
      <c r="B1191" s="10"/>
      <c r="C1191" s="15"/>
      <c r="D1191" s="12"/>
      <c r="E1191" s="16"/>
      <c r="F1191" s="10"/>
      <c r="G1191" s="10"/>
      <c r="H1191" s="10"/>
      <c r="I1191" s="11"/>
      <c r="J1191" s="11"/>
      <c r="K1191" s="11"/>
      <c r="L1191" s="11"/>
      <c r="M1191" s="10"/>
      <c r="N1191" s="2"/>
      <c r="O1191" s="11"/>
      <c r="P1191" s="11"/>
      <c r="Q1191" s="11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</row>
    <row r="1192">
      <c r="A1192" s="11"/>
      <c r="B1192" s="10"/>
      <c r="C1192" s="15"/>
      <c r="D1192" s="12"/>
      <c r="E1192" s="16"/>
      <c r="F1192" s="10"/>
      <c r="G1192" s="10"/>
      <c r="H1192" s="10"/>
      <c r="I1192" s="11"/>
      <c r="J1192" s="11"/>
      <c r="K1192" s="11"/>
      <c r="L1192" s="11"/>
      <c r="M1192" s="10"/>
      <c r="N1192" s="2"/>
      <c r="O1192" s="11"/>
      <c r="P1192" s="11"/>
      <c r="Q1192" s="11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</row>
    <row r="1193">
      <c r="A1193" s="11"/>
      <c r="B1193" s="10"/>
      <c r="C1193" s="15"/>
      <c r="D1193" s="12"/>
      <c r="E1193" s="16"/>
      <c r="F1193" s="10"/>
      <c r="G1193" s="10"/>
      <c r="H1193" s="10"/>
      <c r="I1193" s="11"/>
      <c r="J1193" s="11"/>
      <c r="K1193" s="11"/>
      <c r="L1193" s="11"/>
      <c r="M1193" s="10"/>
      <c r="N1193" s="2"/>
      <c r="O1193" s="11"/>
      <c r="P1193" s="11"/>
      <c r="Q1193" s="11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</row>
    <row r="1194">
      <c r="A1194" s="11"/>
      <c r="B1194" s="10"/>
      <c r="C1194" s="15"/>
      <c r="D1194" s="12"/>
      <c r="E1194" s="16"/>
      <c r="F1194" s="10"/>
      <c r="G1194" s="10"/>
      <c r="H1194" s="10"/>
      <c r="I1194" s="11"/>
      <c r="J1194" s="11"/>
      <c r="K1194" s="11"/>
      <c r="L1194" s="11"/>
      <c r="M1194" s="10"/>
      <c r="N1194" s="2"/>
      <c r="O1194" s="11"/>
      <c r="P1194" s="11"/>
      <c r="Q1194" s="11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</row>
    <row r="1195">
      <c r="A1195" s="11"/>
      <c r="B1195" s="10"/>
      <c r="C1195" s="15"/>
      <c r="D1195" s="12"/>
      <c r="E1195" s="16"/>
      <c r="F1195" s="10"/>
      <c r="G1195" s="10"/>
      <c r="H1195" s="10"/>
      <c r="I1195" s="11"/>
      <c r="J1195" s="11"/>
      <c r="K1195" s="11"/>
      <c r="L1195" s="11"/>
      <c r="M1195" s="10"/>
      <c r="N1195" s="2"/>
      <c r="O1195" s="11"/>
      <c r="P1195" s="11"/>
      <c r="Q1195" s="11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</row>
    <row r="1196">
      <c r="A1196" s="11"/>
      <c r="B1196" s="10"/>
      <c r="C1196" s="15"/>
      <c r="D1196" s="12"/>
      <c r="E1196" s="16"/>
      <c r="F1196" s="10"/>
      <c r="G1196" s="10"/>
      <c r="H1196" s="10"/>
      <c r="I1196" s="11"/>
      <c r="J1196" s="11"/>
      <c r="K1196" s="11"/>
      <c r="L1196" s="11"/>
      <c r="M1196" s="10"/>
      <c r="N1196" s="2"/>
      <c r="O1196" s="11"/>
      <c r="P1196" s="11"/>
      <c r="Q1196" s="11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</row>
    <row r="1197">
      <c r="A1197" s="11"/>
      <c r="B1197" s="10"/>
      <c r="C1197" s="15"/>
      <c r="D1197" s="12"/>
      <c r="E1197" s="16"/>
      <c r="F1197" s="10"/>
      <c r="G1197" s="10"/>
      <c r="H1197" s="10"/>
      <c r="I1197" s="11"/>
      <c r="J1197" s="11"/>
      <c r="K1197" s="11"/>
      <c r="L1197" s="11"/>
      <c r="M1197" s="10"/>
      <c r="N1197" s="2"/>
      <c r="O1197" s="11"/>
      <c r="P1197" s="11"/>
      <c r="Q1197" s="11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</row>
    <row r="1198">
      <c r="A1198" s="11"/>
      <c r="B1198" s="10"/>
      <c r="C1198" s="15"/>
      <c r="D1198" s="12"/>
      <c r="E1198" s="16"/>
      <c r="F1198" s="10"/>
      <c r="G1198" s="10"/>
      <c r="H1198" s="10"/>
      <c r="I1198" s="11"/>
      <c r="J1198" s="11"/>
      <c r="K1198" s="11"/>
      <c r="L1198" s="11"/>
      <c r="M1198" s="10"/>
      <c r="N1198" s="2"/>
      <c r="O1198" s="11"/>
      <c r="P1198" s="11"/>
      <c r="Q1198" s="11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</row>
    <row r="1199">
      <c r="A1199" s="11"/>
      <c r="B1199" s="10"/>
      <c r="C1199" s="15"/>
      <c r="D1199" s="12"/>
      <c r="E1199" s="16"/>
      <c r="F1199" s="10"/>
      <c r="G1199" s="10"/>
      <c r="H1199" s="10"/>
      <c r="I1199" s="11"/>
      <c r="J1199" s="11"/>
      <c r="K1199" s="11"/>
      <c r="L1199" s="11"/>
      <c r="M1199" s="10"/>
      <c r="N1199" s="2"/>
      <c r="O1199" s="11"/>
      <c r="P1199" s="11"/>
      <c r="Q1199" s="11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</row>
    <row r="1200">
      <c r="A1200" s="11"/>
      <c r="B1200" s="10"/>
      <c r="C1200" s="15"/>
      <c r="D1200" s="12"/>
      <c r="E1200" s="16"/>
      <c r="F1200" s="10"/>
      <c r="G1200" s="10"/>
      <c r="H1200" s="10"/>
      <c r="I1200" s="11"/>
      <c r="J1200" s="11"/>
      <c r="K1200" s="11"/>
      <c r="L1200" s="11"/>
      <c r="M1200" s="10"/>
      <c r="N1200" s="2"/>
      <c r="O1200" s="11"/>
      <c r="P1200" s="11"/>
      <c r="Q1200" s="11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</row>
    <row r="1201">
      <c r="A1201" s="11"/>
      <c r="B1201" s="10"/>
      <c r="C1201" s="15"/>
      <c r="D1201" s="12"/>
      <c r="E1201" s="16"/>
      <c r="F1201" s="10"/>
      <c r="G1201" s="10"/>
      <c r="H1201" s="10"/>
      <c r="I1201" s="11"/>
      <c r="J1201" s="11"/>
      <c r="K1201" s="11"/>
      <c r="L1201" s="11"/>
      <c r="M1201" s="10"/>
      <c r="N1201" s="2"/>
      <c r="O1201" s="11"/>
      <c r="P1201" s="11"/>
      <c r="Q1201" s="11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</row>
    <row r="1202">
      <c r="A1202" s="11"/>
      <c r="B1202" s="10"/>
      <c r="C1202" s="15"/>
      <c r="D1202" s="12"/>
      <c r="E1202" s="16"/>
      <c r="F1202" s="10"/>
      <c r="G1202" s="10"/>
      <c r="H1202" s="10"/>
      <c r="I1202" s="11"/>
      <c r="J1202" s="11"/>
      <c r="K1202" s="11"/>
      <c r="L1202" s="11"/>
      <c r="M1202" s="10"/>
      <c r="N1202" s="2"/>
      <c r="O1202" s="11"/>
      <c r="P1202" s="11"/>
      <c r="Q1202" s="11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</row>
    <row r="1203">
      <c r="A1203" s="11"/>
      <c r="B1203" s="10"/>
      <c r="C1203" s="15"/>
      <c r="D1203" s="12"/>
      <c r="E1203" s="16"/>
      <c r="F1203" s="10"/>
      <c r="G1203" s="10"/>
      <c r="H1203" s="10"/>
      <c r="I1203" s="11"/>
      <c r="J1203" s="11"/>
      <c r="K1203" s="11"/>
      <c r="L1203" s="11"/>
      <c r="M1203" s="10"/>
      <c r="N1203" s="2"/>
      <c r="O1203" s="11"/>
      <c r="P1203" s="11"/>
      <c r="Q1203" s="11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</row>
    <row r="1204">
      <c r="A1204" s="11"/>
      <c r="B1204" s="10"/>
      <c r="C1204" s="15"/>
      <c r="D1204" s="12"/>
      <c r="E1204" s="16"/>
      <c r="F1204" s="10"/>
      <c r="G1204" s="10"/>
      <c r="H1204" s="10"/>
      <c r="I1204" s="11"/>
      <c r="J1204" s="11"/>
      <c r="K1204" s="11"/>
      <c r="L1204" s="11"/>
      <c r="M1204" s="10"/>
      <c r="N1204" s="2"/>
      <c r="O1204" s="11"/>
      <c r="P1204" s="11"/>
      <c r="Q1204" s="11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</row>
    <row r="1205">
      <c r="A1205" s="11"/>
      <c r="B1205" s="10"/>
      <c r="C1205" s="15"/>
      <c r="D1205" s="12"/>
      <c r="E1205" s="16"/>
      <c r="F1205" s="10"/>
      <c r="G1205" s="10"/>
      <c r="H1205" s="10"/>
      <c r="I1205" s="11"/>
      <c r="J1205" s="11"/>
      <c r="K1205" s="11"/>
      <c r="L1205" s="11"/>
      <c r="M1205" s="10"/>
      <c r="N1205" s="2"/>
      <c r="O1205" s="11"/>
      <c r="P1205" s="11"/>
      <c r="Q1205" s="11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</row>
    <row r="1206">
      <c r="A1206" s="11"/>
      <c r="B1206" s="10"/>
      <c r="C1206" s="15"/>
      <c r="D1206" s="12"/>
      <c r="E1206" s="16"/>
      <c r="F1206" s="10"/>
      <c r="G1206" s="10"/>
      <c r="H1206" s="10"/>
      <c r="I1206" s="11"/>
      <c r="J1206" s="11"/>
      <c r="K1206" s="11"/>
      <c r="L1206" s="11"/>
      <c r="M1206" s="10"/>
      <c r="N1206" s="2"/>
      <c r="O1206" s="11"/>
      <c r="P1206" s="11"/>
      <c r="Q1206" s="11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</row>
    <row r="1207">
      <c r="A1207" s="11"/>
      <c r="B1207" s="10"/>
      <c r="C1207" s="15"/>
      <c r="D1207" s="12"/>
      <c r="E1207" s="16"/>
      <c r="F1207" s="10"/>
      <c r="G1207" s="10"/>
      <c r="H1207" s="10"/>
      <c r="I1207" s="11"/>
      <c r="J1207" s="11"/>
      <c r="K1207" s="11"/>
      <c r="L1207" s="11"/>
      <c r="M1207" s="10"/>
      <c r="N1207" s="2"/>
      <c r="O1207" s="11"/>
      <c r="P1207" s="11"/>
      <c r="Q1207" s="11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</row>
    <row r="1208">
      <c r="A1208" s="11"/>
      <c r="B1208" s="10"/>
      <c r="C1208" s="15"/>
      <c r="D1208" s="12"/>
      <c r="E1208" s="16"/>
      <c r="F1208" s="10"/>
      <c r="G1208" s="10"/>
      <c r="H1208" s="10"/>
      <c r="I1208" s="11"/>
      <c r="J1208" s="11"/>
      <c r="K1208" s="11"/>
      <c r="L1208" s="11"/>
      <c r="M1208" s="10"/>
      <c r="N1208" s="2"/>
      <c r="O1208" s="11"/>
      <c r="P1208" s="11"/>
      <c r="Q1208" s="11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</row>
    <row r="1209">
      <c r="A1209" s="11"/>
      <c r="B1209" s="10"/>
      <c r="C1209" s="15"/>
      <c r="D1209" s="12"/>
      <c r="E1209" s="16"/>
      <c r="F1209" s="10"/>
      <c r="G1209" s="10"/>
      <c r="H1209" s="10"/>
      <c r="I1209" s="11"/>
      <c r="J1209" s="11"/>
      <c r="K1209" s="11"/>
      <c r="L1209" s="11"/>
      <c r="M1209" s="10"/>
      <c r="N1209" s="2"/>
      <c r="O1209" s="11"/>
      <c r="P1209" s="11"/>
      <c r="Q1209" s="11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</row>
    <row r="1210">
      <c r="A1210" s="11"/>
      <c r="B1210" s="10"/>
      <c r="C1210" s="15"/>
      <c r="D1210" s="12"/>
      <c r="E1210" s="16"/>
      <c r="F1210" s="10"/>
      <c r="G1210" s="10"/>
      <c r="H1210" s="10"/>
      <c r="I1210" s="11"/>
      <c r="J1210" s="11"/>
      <c r="K1210" s="11"/>
      <c r="L1210" s="11"/>
      <c r="M1210" s="10"/>
      <c r="N1210" s="2"/>
      <c r="O1210" s="11"/>
      <c r="P1210" s="11"/>
      <c r="Q1210" s="11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</row>
    <row r="1211">
      <c r="A1211" s="11"/>
      <c r="B1211" s="10"/>
      <c r="C1211" s="15"/>
      <c r="D1211" s="12"/>
      <c r="E1211" s="16"/>
      <c r="F1211" s="10"/>
      <c r="G1211" s="10"/>
      <c r="H1211" s="10"/>
      <c r="I1211" s="11"/>
      <c r="J1211" s="11"/>
      <c r="K1211" s="11"/>
      <c r="L1211" s="11"/>
      <c r="M1211" s="10"/>
      <c r="N1211" s="2"/>
      <c r="O1211" s="11"/>
      <c r="P1211" s="11"/>
      <c r="Q1211" s="11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</row>
    <row r="1212">
      <c r="A1212" s="11"/>
      <c r="B1212" s="10"/>
      <c r="C1212" s="15"/>
      <c r="D1212" s="12"/>
      <c r="E1212" s="16"/>
      <c r="F1212" s="10"/>
      <c r="G1212" s="10"/>
      <c r="H1212" s="10"/>
      <c r="I1212" s="11"/>
      <c r="J1212" s="11"/>
      <c r="K1212" s="11"/>
      <c r="L1212" s="11"/>
      <c r="M1212" s="10"/>
      <c r="N1212" s="2"/>
      <c r="O1212" s="11"/>
      <c r="P1212" s="11"/>
      <c r="Q1212" s="11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</row>
    <row r="1213">
      <c r="A1213" s="11"/>
      <c r="B1213" s="10"/>
      <c r="C1213" s="15"/>
      <c r="D1213" s="12"/>
      <c r="E1213" s="16"/>
      <c r="F1213" s="10"/>
      <c r="G1213" s="10"/>
      <c r="H1213" s="10"/>
      <c r="I1213" s="11"/>
      <c r="J1213" s="11"/>
      <c r="K1213" s="11"/>
      <c r="L1213" s="11"/>
      <c r="M1213" s="10"/>
      <c r="N1213" s="2"/>
      <c r="O1213" s="11"/>
      <c r="P1213" s="11"/>
      <c r="Q1213" s="11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</row>
    <row r="1214">
      <c r="A1214" s="11"/>
      <c r="B1214" s="10"/>
      <c r="C1214" s="15"/>
      <c r="D1214" s="12"/>
      <c r="E1214" s="16"/>
      <c r="F1214" s="10"/>
      <c r="G1214" s="10"/>
      <c r="H1214" s="10"/>
      <c r="I1214" s="11"/>
      <c r="J1214" s="11"/>
      <c r="K1214" s="11"/>
      <c r="L1214" s="11"/>
      <c r="M1214" s="10"/>
      <c r="N1214" s="2"/>
      <c r="O1214" s="11"/>
      <c r="P1214" s="11"/>
      <c r="Q1214" s="11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</row>
    <row r="1215">
      <c r="A1215" s="11"/>
      <c r="B1215" s="10"/>
      <c r="C1215" s="15"/>
      <c r="D1215" s="12"/>
      <c r="E1215" s="16"/>
      <c r="F1215" s="10"/>
      <c r="G1215" s="10"/>
      <c r="H1215" s="10"/>
      <c r="I1215" s="11"/>
      <c r="J1215" s="11"/>
      <c r="K1215" s="11"/>
      <c r="L1215" s="11"/>
      <c r="M1215" s="10"/>
      <c r="N1215" s="2"/>
      <c r="O1215" s="11"/>
      <c r="P1215" s="11"/>
      <c r="Q1215" s="11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</row>
    <row r="1216">
      <c r="A1216" s="11"/>
      <c r="B1216" s="10"/>
      <c r="C1216" s="15"/>
      <c r="D1216" s="12"/>
      <c r="E1216" s="16"/>
      <c r="F1216" s="10"/>
      <c r="G1216" s="10"/>
      <c r="H1216" s="10"/>
      <c r="I1216" s="11"/>
      <c r="J1216" s="11"/>
      <c r="K1216" s="11"/>
      <c r="L1216" s="11"/>
      <c r="M1216" s="10"/>
      <c r="N1216" s="2"/>
      <c r="O1216" s="11"/>
      <c r="P1216" s="11"/>
      <c r="Q1216" s="11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</row>
    <row r="1217">
      <c r="A1217" s="11"/>
      <c r="B1217" s="10"/>
      <c r="C1217" s="15"/>
      <c r="D1217" s="12"/>
      <c r="E1217" s="16"/>
      <c r="F1217" s="10"/>
      <c r="G1217" s="10"/>
      <c r="H1217" s="10"/>
      <c r="I1217" s="11"/>
      <c r="J1217" s="11"/>
      <c r="K1217" s="11"/>
      <c r="L1217" s="11"/>
      <c r="M1217" s="10"/>
      <c r="N1217" s="2"/>
      <c r="O1217" s="11"/>
      <c r="P1217" s="11"/>
      <c r="Q1217" s="11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</row>
    <row r="1218">
      <c r="A1218" s="11"/>
      <c r="B1218" s="10"/>
      <c r="C1218" s="15"/>
      <c r="D1218" s="12"/>
      <c r="E1218" s="16"/>
      <c r="F1218" s="10"/>
      <c r="G1218" s="10"/>
      <c r="H1218" s="10"/>
      <c r="I1218" s="11"/>
      <c r="J1218" s="11"/>
      <c r="K1218" s="11"/>
      <c r="L1218" s="11"/>
      <c r="M1218" s="10"/>
      <c r="N1218" s="2"/>
      <c r="O1218" s="11"/>
      <c r="P1218" s="11"/>
      <c r="Q1218" s="11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</row>
    <row r="1219">
      <c r="A1219" s="11"/>
      <c r="B1219" s="10"/>
      <c r="C1219" s="15"/>
      <c r="D1219" s="12"/>
      <c r="E1219" s="16"/>
      <c r="F1219" s="10"/>
      <c r="G1219" s="10"/>
      <c r="H1219" s="10"/>
      <c r="I1219" s="11"/>
      <c r="J1219" s="11"/>
      <c r="K1219" s="11"/>
      <c r="L1219" s="11"/>
      <c r="M1219" s="10"/>
      <c r="N1219" s="2"/>
      <c r="O1219" s="11"/>
      <c r="P1219" s="11"/>
      <c r="Q1219" s="11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</row>
    <row r="1220">
      <c r="A1220" s="11"/>
      <c r="B1220" s="10"/>
      <c r="C1220" s="15"/>
      <c r="D1220" s="12"/>
      <c r="E1220" s="16"/>
      <c r="F1220" s="10"/>
      <c r="G1220" s="10"/>
      <c r="H1220" s="10"/>
      <c r="I1220" s="11"/>
      <c r="J1220" s="11"/>
      <c r="K1220" s="11"/>
      <c r="L1220" s="11"/>
      <c r="M1220" s="10"/>
      <c r="N1220" s="2"/>
      <c r="O1220" s="11"/>
      <c r="P1220" s="11"/>
      <c r="Q1220" s="11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</row>
    <row r="1221">
      <c r="A1221" s="11"/>
      <c r="B1221" s="10"/>
      <c r="C1221" s="15"/>
      <c r="D1221" s="12"/>
      <c r="E1221" s="16"/>
      <c r="F1221" s="10"/>
      <c r="G1221" s="10"/>
      <c r="H1221" s="10"/>
      <c r="I1221" s="11"/>
      <c r="J1221" s="11"/>
      <c r="K1221" s="11"/>
      <c r="L1221" s="11"/>
      <c r="M1221" s="10"/>
      <c r="N1221" s="2"/>
      <c r="O1221" s="11"/>
      <c r="P1221" s="11"/>
      <c r="Q1221" s="11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</row>
    <row r="1222">
      <c r="A1222" s="11"/>
      <c r="B1222" s="10"/>
      <c r="C1222" s="15"/>
      <c r="D1222" s="12"/>
      <c r="E1222" s="16"/>
      <c r="F1222" s="10"/>
      <c r="G1222" s="10"/>
      <c r="H1222" s="10"/>
      <c r="I1222" s="11"/>
      <c r="J1222" s="11"/>
      <c r="K1222" s="11"/>
      <c r="L1222" s="11"/>
      <c r="M1222" s="10"/>
      <c r="N1222" s="2"/>
      <c r="O1222" s="11"/>
      <c r="P1222" s="11"/>
      <c r="Q1222" s="11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</row>
    <row r="1223">
      <c r="A1223" s="11"/>
      <c r="B1223" s="10"/>
      <c r="C1223" s="15"/>
      <c r="D1223" s="12"/>
      <c r="E1223" s="16"/>
      <c r="F1223" s="10"/>
      <c r="G1223" s="10"/>
      <c r="H1223" s="10"/>
      <c r="I1223" s="11"/>
      <c r="J1223" s="11"/>
      <c r="K1223" s="11"/>
      <c r="L1223" s="11"/>
      <c r="M1223" s="10"/>
      <c r="N1223" s="2"/>
      <c r="O1223" s="11"/>
      <c r="P1223" s="11"/>
      <c r="Q1223" s="11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</row>
    <row r="1224">
      <c r="A1224" s="11"/>
      <c r="B1224" s="10"/>
      <c r="C1224" s="15"/>
      <c r="D1224" s="12"/>
      <c r="E1224" s="16"/>
      <c r="F1224" s="10"/>
      <c r="G1224" s="10"/>
      <c r="H1224" s="10"/>
      <c r="I1224" s="11"/>
      <c r="J1224" s="11"/>
      <c r="K1224" s="11"/>
      <c r="L1224" s="11"/>
      <c r="M1224" s="10"/>
      <c r="N1224" s="2"/>
      <c r="O1224" s="11"/>
      <c r="P1224" s="11"/>
      <c r="Q1224" s="11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</row>
    <row r="1225">
      <c r="A1225" s="11"/>
      <c r="B1225" s="10"/>
      <c r="C1225" s="15"/>
      <c r="D1225" s="12"/>
      <c r="E1225" s="16"/>
      <c r="F1225" s="10"/>
      <c r="G1225" s="10"/>
      <c r="H1225" s="10"/>
      <c r="I1225" s="11"/>
      <c r="J1225" s="11"/>
      <c r="K1225" s="11"/>
      <c r="L1225" s="11"/>
      <c r="M1225" s="10"/>
      <c r="N1225" s="2"/>
      <c r="O1225" s="11"/>
      <c r="P1225" s="11"/>
      <c r="Q1225" s="11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</row>
    <row r="1226">
      <c r="A1226" s="11"/>
      <c r="B1226" s="10"/>
      <c r="C1226" s="15"/>
      <c r="D1226" s="12"/>
      <c r="E1226" s="16"/>
      <c r="F1226" s="10"/>
      <c r="G1226" s="10"/>
      <c r="H1226" s="10"/>
      <c r="I1226" s="11"/>
      <c r="J1226" s="11"/>
      <c r="K1226" s="11"/>
      <c r="L1226" s="11"/>
      <c r="M1226" s="10"/>
      <c r="N1226" s="2"/>
      <c r="O1226" s="11"/>
      <c r="P1226" s="11"/>
      <c r="Q1226" s="11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</row>
    <row r="1227">
      <c r="A1227" s="11"/>
      <c r="B1227" s="10"/>
      <c r="C1227" s="15"/>
      <c r="D1227" s="12"/>
      <c r="E1227" s="16"/>
      <c r="F1227" s="10"/>
      <c r="G1227" s="10"/>
      <c r="H1227" s="10"/>
      <c r="I1227" s="11"/>
      <c r="J1227" s="11"/>
      <c r="K1227" s="11"/>
      <c r="L1227" s="11"/>
      <c r="M1227" s="10"/>
      <c r="N1227" s="2"/>
      <c r="O1227" s="11"/>
      <c r="P1227" s="11"/>
      <c r="Q1227" s="11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</row>
    <row r="1228">
      <c r="A1228" s="11"/>
      <c r="B1228" s="10"/>
      <c r="C1228" s="15"/>
      <c r="D1228" s="12"/>
      <c r="E1228" s="16"/>
      <c r="F1228" s="10"/>
      <c r="G1228" s="10"/>
      <c r="H1228" s="10"/>
      <c r="I1228" s="11"/>
      <c r="J1228" s="11"/>
      <c r="K1228" s="11"/>
      <c r="L1228" s="11"/>
      <c r="M1228" s="10"/>
      <c r="N1228" s="2"/>
      <c r="O1228" s="11"/>
      <c r="P1228" s="11"/>
      <c r="Q1228" s="11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</row>
    <row r="1229">
      <c r="A1229" s="11"/>
      <c r="B1229" s="10"/>
      <c r="C1229" s="15"/>
      <c r="D1229" s="12"/>
      <c r="E1229" s="16"/>
      <c r="F1229" s="10"/>
      <c r="G1229" s="10"/>
      <c r="H1229" s="10"/>
      <c r="I1229" s="11"/>
      <c r="J1229" s="11"/>
      <c r="K1229" s="11"/>
      <c r="L1229" s="11"/>
      <c r="M1229" s="10"/>
      <c r="N1229" s="2"/>
      <c r="O1229" s="11"/>
      <c r="P1229" s="11"/>
      <c r="Q1229" s="11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</row>
    <row r="1230">
      <c r="A1230" s="11"/>
      <c r="B1230" s="10"/>
      <c r="C1230" s="15"/>
      <c r="D1230" s="12"/>
      <c r="E1230" s="16"/>
      <c r="F1230" s="10"/>
      <c r="G1230" s="10"/>
      <c r="H1230" s="10"/>
      <c r="I1230" s="11"/>
      <c r="J1230" s="11"/>
      <c r="K1230" s="11"/>
      <c r="L1230" s="11"/>
      <c r="M1230" s="10"/>
      <c r="N1230" s="2"/>
      <c r="O1230" s="11"/>
      <c r="P1230" s="11"/>
      <c r="Q1230" s="11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</row>
    <row r="1231">
      <c r="A1231" s="11"/>
      <c r="B1231" s="10"/>
      <c r="C1231" s="15"/>
      <c r="D1231" s="12"/>
      <c r="E1231" s="16"/>
      <c r="F1231" s="10"/>
      <c r="G1231" s="10"/>
      <c r="H1231" s="10"/>
      <c r="I1231" s="11"/>
      <c r="J1231" s="11"/>
      <c r="K1231" s="11"/>
      <c r="L1231" s="11"/>
      <c r="M1231" s="10"/>
      <c r="N1231" s="2"/>
      <c r="O1231" s="11"/>
      <c r="P1231" s="11"/>
      <c r="Q1231" s="11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</row>
    <row r="1232">
      <c r="A1232" s="11"/>
      <c r="B1232" s="10"/>
      <c r="C1232" s="15"/>
      <c r="D1232" s="12"/>
      <c r="E1232" s="16"/>
      <c r="F1232" s="10"/>
      <c r="G1232" s="10"/>
      <c r="H1232" s="10"/>
      <c r="I1232" s="11"/>
      <c r="J1232" s="11"/>
      <c r="K1232" s="11"/>
      <c r="L1232" s="11"/>
      <c r="M1232" s="10"/>
      <c r="N1232" s="2"/>
      <c r="O1232" s="11"/>
      <c r="P1232" s="11"/>
      <c r="Q1232" s="11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</row>
    <row r="1233">
      <c r="A1233" s="11"/>
      <c r="B1233" s="10"/>
      <c r="C1233" s="15"/>
      <c r="D1233" s="12"/>
      <c r="E1233" s="16"/>
      <c r="F1233" s="10"/>
      <c r="G1233" s="10"/>
      <c r="H1233" s="10"/>
      <c r="I1233" s="11"/>
      <c r="J1233" s="11"/>
      <c r="K1233" s="11"/>
      <c r="L1233" s="11"/>
      <c r="M1233" s="10"/>
      <c r="N1233" s="2"/>
      <c r="O1233" s="11"/>
      <c r="P1233" s="11"/>
      <c r="Q1233" s="11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</row>
    <row r="1234">
      <c r="A1234" s="11"/>
      <c r="B1234" s="10"/>
      <c r="C1234" s="15"/>
      <c r="D1234" s="12"/>
      <c r="E1234" s="16"/>
      <c r="F1234" s="10"/>
      <c r="G1234" s="10"/>
      <c r="H1234" s="10"/>
      <c r="I1234" s="11"/>
      <c r="J1234" s="11"/>
      <c r="K1234" s="11"/>
      <c r="L1234" s="11"/>
      <c r="M1234" s="10"/>
      <c r="N1234" s="2"/>
      <c r="O1234" s="11"/>
      <c r="P1234" s="11"/>
      <c r="Q1234" s="11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</row>
    <row r="1235">
      <c r="A1235" s="11"/>
      <c r="B1235" s="10"/>
      <c r="C1235" s="15"/>
      <c r="D1235" s="12"/>
      <c r="E1235" s="16"/>
      <c r="F1235" s="10"/>
      <c r="G1235" s="10"/>
      <c r="H1235" s="10"/>
      <c r="I1235" s="11"/>
      <c r="J1235" s="11"/>
      <c r="K1235" s="11"/>
      <c r="L1235" s="11"/>
      <c r="M1235" s="10"/>
      <c r="N1235" s="2"/>
      <c r="O1235" s="11"/>
      <c r="P1235" s="11"/>
      <c r="Q1235" s="11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</row>
    <row r="1236">
      <c r="A1236" s="11"/>
      <c r="B1236" s="10"/>
      <c r="C1236" s="15"/>
      <c r="D1236" s="12"/>
      <c r="E1236" s="16"/>
      <c r="F1236" s="10"/>
      <c r="G1236" s="10"/>
      <c r="H1236" s="10"/>
      <c r="I1236" s="11"/>
      <c r="J1236" s="11"/>
      <c r="K1236" s="11"/>
      <c r="L1236" s="11"/>
      <c r="M1236" s="10"/>
      <c r="N1236" s="2"/>
      <c r="O1236" s="11"/>
      <c r="P1236" s="11"/>
      <c r="Q1236" s="11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</row>
    <row r="1237">
      <c r="A1237" s="11"/>
      <c r="B1237" s="10"/>
      <c r="C1237" s="15"/>
      <c r="D1237" s="12"/>
      <c r="E1237" s="16"/>
      <c r="F1237" s="10"/>
      <c r="G1237" s="10"/>
      <c r="H1237" s="10"/>
      <c r="I1237" s="11"/>
      <c r="J1237" s="11"/>
      <c r="K1237" s="11"/>
      <c r="L1237" s="11"/>
      <c r="M1237" s="10"/>
      <c r="N1237" s="2"/>
      <c r="O1237" s="11"/>
      <c r="P1237" s="11"/>
      <c r="Q1237" s="11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</row>
    <row r="1238">
      <c r="A1238" s="11"/>
      <c r="B1238" s="10"/>
      <c r="C1238" s="15"/>
      <c r="D1238" s="12"/>
      <c r="E1238" s="16"/>
      <c r="F1238" s="10"/>
      <c r="G1238" s="10"/>
      <c r="H1238" s="10"/>
      <c r="I1238" s="11"/>
      <c r="J1238" s="11"/>
      <c r="K1238" s="11"/>
      <c r="L1238" s="11"/>
      <c r="M1238" s="10"/>
      <c r="N1238" s="2"/>
      <c r="O1238" s="11"/>
      <c r="P1238" s="11"/>
      <c r="Q1238" s="11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</row>
    <row r="1239">
      <c r="A1239" s="11"/>
      <c r="B1239" s="10"/>
      <c r="C1239" s="15"/>
      <c r="D1239" s="12"/>
      <c r="E1239" s="16"/>
      <c r="F1239" s="10"/>
      <c r="G1239" s="10"/>
      <c r="H1239" s="10"/>
      <c r="I1239" s="11"/>
      <c r="J1239" s="11"/>
      <c r="K1239" s="11"/>
      <c r="L1239" s="11"/>
      <c r="M1239" s="10"/>
      <c r="N1239" s="2"/>
      <c r="O1239" s="11"/>
      <c r="P1239" s="11"/>
      <c r="Q1239" s="11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</row>
    <row r="1240">
      <c r="A1240" s="11"/>
      <c r="B1240" s="10"/>
      <c r="C1240" s="15"/>
      <c r="D1240" s="12"/>
      <c r="E1240" s="16"/>
      <c r="F1240" s="10"/>
      <c r="G1240" s="10"/>
      <c r="H1240" s="10"/>
      <c r="I1240" s="11"/>
      <c r="J1240" s="11"/>
      <c r="K1240" s="11"/>
      <c r="L1240" s="11"/>
      <c r="M1240" s="10"/>
      <c r="N1240" s="2"/>
      <c r="O1240" s="11"/>
      <c r="P1240" s="11"/>
      <c r="Q1240" s="11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</row>
    <row r="1241">
      <c r="A1241" s="11"/>
      <c r="B1241" s="10"/>
      <c r="C1241" s="15"/>
      <c r="D1241" s="12"/>
      <c r="E1241" s="16"/>
      <c r="F1241" s="10"/>
      <c r="G1241" s="10"/>
      <c r="H1241" s="10"/>
      <c r="I1241" s="11"/>
      <c r="J1241" s="11"/>
      <c r="K1241" s="11"/>
      <c r="L1241" s="11"/>
      <c r="M1241" s="10"/>
      <c r="N1241" s="2"/>
      <c r="O1241" s="11"/>
      <c r="P1241" s="11"/>
      <c r="Q1241" s="11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</row>
    <row r="1242">
      <c r="A1242" s="11"/>
      <c r="B1242" s="10"/>
      <c r="C1242" s="15"/>
      <c r="D1242" s="12"/>
      <c r="E1242" s="16"/>
      <c r="F1242" s="10"/>
      <c r="G1242" s="10"/>
      <c r="H1242" s="10"/>
      <c r="I1242" s="11"/>
      <c r="J1242" s="11"/>
      <c r="K1242" s="11"/>
      <c r="L1242" s="11"/>
      <c r="M1242" s="10"/>
      <c r="N1242" s="2"/>
      <c r="O1242" s="11"/>
      <c r="P1242" s="11"/>
      <c r="Q1242" s="11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</row>
    <row r="1243">
      <c r="A1243" s="11"/>
      <c r="B1243" s="10"/>
      <c r="C1243" s="15"/>
      <c r="D1243" s="12"/>
      <c r="E1243" s="16"/>
      <c r="F1243" s="10"/>
      <c r="G1243" s="10"/>
      <c r="H1243" s="10"/>
      <c r="I1243" s="11"/>
      <c r="J1243" s="11"/>
      <c r="K1243" s="11"/>
      <c r="L1243" s="11"/>
      <c r="M1243" s="10"/>
      <c r="N1243" s="2"/>
      <c r="O1243" s="11"/>
      <c r="P1243" s="11"/>
      <c r="Q1243" s="11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</row>
    <row r="1244">
      <c r="A1244" s="11"/>
      <c r="B1244" s="10"/>
      <c r="C1244" s="15"/>
      <c r="D1244" s="12"/>
      <c r="E1244" s="16"/>
      <c r="F1244" s="10"/>
      <c r="G1244" s="10"/>
      <c r="H1244" s="10"/>
      <c r="I1244" s="11"/>
      <c r="J1244" s="11"/>
      <c r="K1244" s="11"/>
      <c r="L1244" s="11"/>
      <c r="M1244" s="10"/>
      <c r="N1244" s="2"/>
      <c r="O1244" s="11"/>
      <c r="P1244" s="11"/>
      <c r="Q1244" s="11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</row>
    <row r="1245">
      <c r="A1245" s="11"/>
      <c r="B1245" s="10"/>
      <c r="C1245" s="15"/>
      <c r="D1245" s="12"/>
      <c r="E1245" s="16"/>
      <c r="F1245" s="10"/>
      <c r="G1245" s="10"/>
      <c r="H1245" s="10"/>
      <c r="I1245" s="11"/>
      <c r="J1245" s="11"/>
      <c r="K1245" s="11"/>
      <c r="L1245" s="11"/>
      <c r="M1245" s="10"/>
      <c r="N1245" s="2"/>
      <c r="O1245" s="11"/>
      <c r="P1245" s="11"/>
      <c r="Q1245" s="11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</row>
    <row r="1246">
      <c r="A1246" s="11"/>
      <c r="B1246" s="10"/>
      <c r="C1246" s="15"/>
      <c r="D1246" s="12"/>
      <c r="E1246" s="16"/>
      <c r="F1246" s="10"/>
      <c r="G1246" s="10"/>
      <c r="H1246" s="10"/>
      <c r="I1246" s="11"/>
      <c r="J1246" s="11"/>
      <c r="K1246" s="11"/>
      <c r="L1246" s="11"/>
      <c r="M1246" s="10"/>
      <c r="N1246" s="2"/>
      <c r="O1246" s="11"/>
      <c r="P1246" s="11"/>
      <c r="Q1246" s="11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</row>
    <row r="1247">
      <c r="A1247" s="11"/>
      <c r="B1247" s="10"/>
      <c r="C1247" s="15"/>
      <c r="D1247" s="12"/>
      <c r="E1247" s="16"/>
      <c r="F1247" s="10"/>
      <c r="G1247" s="10"/>
      <c r="H1247" s="10"/>
      <c r="I1247" s="11"/>
      <c r="J1247" s="11"/>
      <c r="K1247" s="11"/>
      <c r="L1247" s="11"/>
      <c r="M1247" s="10"/>
      <c r="N1247" s="2"/>
      <c r="O1247" s="11"/>
      <c r="P1247" s="11"/>
      <c r="Q1247" s="11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</row>
    <row r="1248">
      <c r="A1248" s="11"/>
      <c r="B1248" s="10"/>
      <c r="C1248" s="15"/>
      <c r="D1248" s="12"/>
      <c r="E1248" s="16"/>
      <c r="F1248" s="10"/>
      <c r="G1248" s="10"/>
      <c r="H1248" s="10"/>
      <c r="I1248" s="11"/>
      <c r="J1248" s="11"/>
      <c r="K1248" s="11"/>
      <c r="L1248" s="11"/>
      <c r="M1248" s="10"/>
      <c r="N1248" s="2"/>
      <c r="O1248" s="11"/>
      <c r="P1248" s="11"/>
      <c r="Q1248" s="11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</row>
    <row r="1249">
      <c r="A1249" s="11"/>
      <c r="B1249" s="10"/>
      <c r="C1249" s="15"/>
      <c r="D1249" s="12"/>
      <c r="E1249" s="16"/>
      <c r="F1249" s="10"/>
      <c r="G1249" s="10"/>
      <c r="H1249" s="10"/>
      <c r="I1249" s="11"/>
      <c r="J1249" s="11"/>
      <c r="K1249" s="11"/>
      <c r="L1249" s="11"/>
      <c r="M1249" s="10"/>
      <c r="N1249" s="2"/>
      <c r="O1249" s="11"/>
      <c r="P1249" s="11"/>
      <c r="Q1249" s="11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</row>
    <row r="1250">
      <c r="A1250" s="11"/>
      <c r="B1250" s="10"/>
      <c r="C1250" s="15"/>
      <c r="D1250" s="12"/>
      <c r="E1250" s="16"/>
      <c r="F1250" s="10"/>
      <c r="G1250" s="10"/>
      <c r="H1250" s="10"/>
      <c r="I1250" s="11"/>
      <c r="J1250" s="11"/>
      <c r="K1250" s="11"/>
      <c r="L1250" s="11"/>
      <c r="M1250" s="10"/>
      <c r="N1250" s="2"/>
      <c r="O1250" s="11"/>
      <c r="P1250" s="11"/>
      <c r="Q1250" s="11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</row>
    <row r="1251">
      <c r="A1251" s="11"/>
      <c r="B1251" s="10"/>
      <c r="C1251" s="15"/>
      <c r="D1251" s="12"/>
      <c r="E1251" s="16"/>
      <c r="F1251" s="10"/>
      <c r="G1251" s="10"/>
      <c r="H1251" s="10"/>
      <c r="I1251" s="11"/>
      <c r="J1251" s="11"/>
      <c r="K1251" s="11"/>
      <c r="L1251" s="11"/>
      <c r="M1251" s="10"/>
      <c r="N1251" s="2"/>
      <c r="O1251" s="11"/>
      <c r="P1251" s="11"/>
      <c r="Q1251" s="11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</row>
    <row r="1252">
      <c r="A1252" s="11"/>
      <c r="B1252" s="10"/>
      <c r="C1252" s="15"/>
      <c r="D1252" s="12"/>
      <c r="E1252" s="16"/>
      <c r="F1252" s="10"/>
      <c r="G1252" s="10"/>
      <c r="H1252" s="10"/>
      <c r="I1252" s="11"/>
      <c r="J1252" s="11"/>
      <c r="K1252" s="11"/>
      <c r="L1252" s="11"/>
      <c r="M1252" s="10"/>
      <c r="N1252" s="2"/>
      <c r="O1252" s="11"/>
      <c r="P1252" s="11"/>
      <c r="Q1252" s="11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</row>
    <row r="1253">
      <c r="A1253" s="11"/>
      <c r="B1253" s="10"/>
      <c r="C1253" s="15"/>
      <c r="D1253" s="12"/>
      <c r="E1253" s="16"/>
      <c r="F1253" s="10"/>
      <c r="G1253" s="10"/>
      <c r="H1253" s="10"/>
      <c r="I1253" s="11"/>
      <c r="J1253" s="11"/>
      <c r="K1253" s="11"/>
      <c r="L1253" s="11"/>
      <c r="M1253" s="10"/>
      <c r="N1253" s="2"/>
      <c r="O1253" s="11"/>
      <c r="P1253" s="11"/>
      <c r="Q1253" s="11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</row>
    <row r="1254">
      <c r="A1254" s="11"/>
      <c r="B1254" s="10"/>
      <c r="C1254" s="15"/>
      <c r="D1254" s="12"/>
      <c r="E1254" s="16"/>
      <c r="F1254" s="10"/>
      <c r="G1254" s="10"/>
      <c r="H1254" s="10"/>
      <c r="I1254" s="11"/>
      <c r="J1254" s="11"/>
      <c r="K1254" s="11"/>
      <c r="L1254" s="11"/>
      <c r="M1254" s="10"/>
      <c r="N1254" s="2"/>
      <c r="O1254" s="11"/>
      <c r="P1254" s="11"/>
      <c r="Q1254" s="11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</row>
    <row r="1255">
      <c r="A1255" s="11"/>
      <c r="B1255" s="10"/>
      <c r="C1255" s="15"/>
      <c r="D1255" s="12"/>
      <c r="E1255" s="16"/>
      <c r="F1255" s="10"/>
      <c r="G1255" s="10"/>
      <c r="H1255" s="10"/>
      <c r="I1255" s="11"/>
      <c r="J1255" s="11"/>
      <c r="K1255" s="11"/>
      <c r="L1255" s="11"/>
      <c r="M1255" s="10"/>
      <c r="N1255" s="2"/>
      <c r="O1255" s="11"/>
      <c r="P1255" s="11"/>
      <c r="Q1255" s="11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</row>
    <row r="1256">
      <c r="A1256" s="11"/>
      <c r="B1256" s="10"/>
      <c r="C1256" s="15"/>
      <c r="D1256" s="12"/>
      <c r="E1256" s="16"/>
      <c r="F1256" s="10"/>
      <c r="G1256" s="10"/>
      <c r="H1256" s="10"/>
      <c r="I1256" s="11"/>
      <c r="J1256" s="11"/>
      <c r="K1256" s="11"/>
      <c r="L1256" s="11"/>
      <c r="M1256" s="10"/>
      <c r="N1256" s="2"/>
      <c r="O1256" s="11"/>
      <c r="P1256" s="11"/>
      <c r="Q1256" s="11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</row>
    <row r="1257">
      <c r="A1257" s="11"/>
      <c r="B1257" s="10"/>
      <c r="C1257" s="15"/>
      <c r="D1257" s="12"/>
      <c r="E1257" s="16"/>
      <c r="F1257" s="10"/>
      <c r="G1257" s="10"/>
      <c r="H1257" s="10"/>
      <c r="I1257" s="11"/>
      <c r="J1257" s="11"/>
      <c r="K1257" s="11"/>
      <c r="L1257" s="11"/>
      <c r="M1257" s="10"/>
      <c r="N1257" s="2"/>
      <c r="O1257" s="11"/>
      <c r="P1257" s="11"/>
      <c r="Q1257" s="11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</row>
    <row r="1258">
      <c r="A1258" s="11"/>
      <c r="B1258" s="10"/>
      <c r="C1258" s="15"/>
      <c r="D1258" s="12"/>
      <c r="E1258" s="16"/>
      <c r="F1258" s="10"/>
      <c r="G1258" s="10"/>
      <c r="H1258" s="10"/>
      <c r="I1258" s="11"/>
      <c r="J1258" s="11"/>
      <c r="K1258" s="11"/>
      <c r="L1258" s="11"/>
      <c r="M1258" s="10"/>
      <c r="N1258" s="2"/>
      <c r="O1258" s="11"/>
      <c r="P1258" s="11"/>
      <c r="Q1258" s="11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</row>
    <row r="1259">
      <c r="A1259" s="11"/>
      <c r="B1259" s="10"/>
      <c r="C1259" s="15"/>
      <c r="D1259" s="12"/>
      <c r="E1259" s="16"/>
      <c r="F1259" s="10"/>
      <c r="G1259" s="10"/>
      <c r="H1259" s="10"/>
      <c r="I1259" s="11"/>
      <c r="J1259" s="11"/>
      <c r="K1259" s="11"/>
      <c r="L1259" s="11"/>
      <c r="M1259" s="10"/>
      <c r="N1259" s="2"/>
      <c r="O1259" s="11"/>
      <c r="P1259" s="11"/>
      <c r="Q1259" s="11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</row>
    <row r="1260">
      <c r="A1260" s="11"/>
      <c r="B1260" s="10"/>
      <c r="C1260" s="15"/>
      <c r="D1260" s="12"/>
      <c r="E1260" s="16"/>
      <c r="F1260" s="10"/>
      <c r="G1260" s="10"/>
      <c r="H1260" s="10"/>
      <c r="I1260" s="11"/>
      <c r="J1260" s="11"/>
      <c r="K1260" s="11"/>
      <c r="L1260" s="11"/>
      <c r="M1260" s="10"/>
      <c r="N1260" s="2"/>
      <c r="O1260" s="11"/>
      <c r="P1260" s="11"/>
      <c r="Q1260" s="11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</row>
    <row r="1261">
      <c r="A1261" s="11"/>
      <c r="B1261" s="10"/>
      <c r="C1261" s="15"/>
      <c r="D1261" s="12"/>
      <c r="E1261" s="16"/>
      <c r="F1261" s="10"/>
      <c r="G1261" s="10"/>
      <c r="H1261" s="10"/>
      <c r="I1261" s="11"/>
      <c r="J1261" s="11"/>
      <c r="K1261" s="11"/>
      <c r="L1261" s="11"/>
      <c r="M1261" s="10"/>
      <c r="N1261" s="2"/>
      <c r="O1261" s="11"/>
      <c r="P1261" s="11"/>
      <c r="Q1261" s="11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</row>
    <row r="1262">
      <c r="A1262" s="11"/>
      <c r="B1262" s="10"/>
      <c r="C1262" s="15"/>
      <c r="D1262" s="12"/>
      <c r="E1262" s="16"/>
      <c r="F1262" s="10"/>
      <c r="G1262" s="10"/>
      <c r="H1262" s="10"/>
      <c r="I1262" s="11"/>
      <c r="J1262" s="11"/>
      <c r="K1262" s="11"/>
      <c r="L1262" s="11"/>
      <c r="M1262" s="10"/>
      <c r="N1262" s="2"/>
      <c r="O1262" s="11"/>
      <c r="P1262" s="11"/>
      <c r="Q1262" s="11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</row>
    <row r="1263">
      <c r="A1263" s="11"/>
      <c r="B1263" s="10"/>
      <c r="C1263" s="15"/>
      <c r="D1263" s="12"/>
      <c r="E1263" s="16"/>
      <c r="F1263" s="10"/>
      <c r="G1263" s="10"/>
      <c r="H1263" s="10"/>
      <c r="I1263" s="11"/>
      <c r="J1263" s="11"/>
      <c r="K1263" s="11"/>
      <c r="L1263" s="11"/>
      <c r="M1263" s="10"/>
      <c r="N1263" s="2"/>
      <c r="O1263" s="11"/>
      <c r="P1263" s="11"/>
      <c r="Q1263" s="11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</row>
    <row r="1264">
      <c r="A1264" s="11"/>
      <c r="B1264" s="10"/>
      <c r="C1264" s="15"/>
      <c r="D1264" s="12"/>
      <c r="E1264" s="16"/>
      <c r="F1264" s="10"/>
      <c r="G1264" s="10"/>
      <c r="H1264" s="10"/>
      <c r="I1264" s="11"/>
      <c r="J1264" s="11"/>
      <c r="K1264" s="11"/>
      <c r="L1264" s="11"/>
      <c r="M1264" s="10"/>
      <c r="N1264" s="2"/>
      <c r="O1264" s="11"/>
      <c r="P1264" s="11"/>
      <c r="Q1264" s="11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</row>
    <row r="1265">
      <c r="A1265" s="11"/>
      <c r="B1265" s="10"/>
      <c r="C1265" s="15"/>
      <c r="D1265" s="12"/>
      <c r="E1265" s="16"/>
      <c r="F1265" s="10"/>
      <c r="G1265" s="10"/>
      <c r="H1265" s="10"/>
      <c r="I1265" s="11"/>
      <c r="J1265" s="11"/>
      <c r="K1265" s="11"/>
      <c r="L1265" s="11"/>
      <c r="M1265" s="10"/>
      <c r="N1265" s="2"/>
      <c r="O1265" s="11"/>
      <c r="P1265" s="11"/>
      <c r="Q1265" s="11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</row>
    <row r="1266">
      <c r="A1266" s="11"/>
      <c r="B1266" s="10"/>
      <c r="C1266" s="15"/>
      <c r="D1266" s="12"/>
      <c r="E1266" s="16"/>
      <c r="F1266" s="10"/>
      <c r="G1266" s="10"/>
      <c r="H1266" s="10"/>
      <c r="I1266" s="11"/>
      <c r="J1266" s="11"/>
      <c r="K1266" s="11"/>
      <c r="L1266" s="11"/>
      <c r="M1266" s="10"/>
      <c r="N1266" s="2"/>
      <c r="O1266" s="11"/>
      <c r="P1266" s="11"/>
      <c r="Q1266" s="11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</row>
    <row r="1267">
      <c r="A1267" s="11"/>
      <c r="B1267" s="10"/>
      <c r="C1267" s="15"/>
      <c r="D1267" s="12"/>
      <c r="E1267" s="16"/>
      <c r="F1267" s="10"/>
      <c r="G1267" s="10"/>
      <c r="H1267" s="10"/>
      <c r="I1267" s="11"/>
      <c r="J1267" s="11"/>
      <c r="K1267" s="11"/>
      <c r="L1267" s="11"/>
      <c r="M1267" s="10"/>
      <c r="N1267" s="2"/>
      <c r="O1267" s="11"/>
      <c r="P1267" s="11"/>
      <c r="Q1267" s="11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</row>
    <row r="1268">
      <c r="A1268" s="11"/>
      <c r="B1268" s="10"/>
      <c r="C1268" s="15"/>
      <c r="D1268" s="12"/>
      <c r="E1268" s="16"/>
      <c r="F1268" s="10"/>
      <c r="G1268" s="10"/>
      <c r="H1268" s="10"/>
      <c r="I1268" s="11"/>
      <c r="J1268" s="11"/>
      <c r="K1268" s="11"/>
      <c r="L1268" s="11"/>
      <c r="M1268" s="10"/>
      <c r="N1268" s="2"/>
      <c r="O1268" s="11"/>
      <c r="P1268" s="11"/>
      <c r="Q1268" s="11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</row>
    <row r="1269">
      <c r="A1269" s="11"/>
      <c r="B1269" s="10"/>
      <c r="C1269" s="15"/>
      <c r="D1269" s="12"/>
      <c r="E1269" s="16"/>
      <c r="F1269" s="10"/>
      <c r="G1269" s="10"/>
      <c r="H1269" s="10"/>
      <c r="I1269" s="11"/>
      <c r="J1269" s="11"/>
      <c r="K1269" s="11"/>
      <c r="L1269" s="11"/>
      <c r="M1269" s="10"/>
      <c r="N1269" s="2"/>
      <c r="O1269" s="11"/>
      <c r="P1269" s="11"/>
      <c r="Q1269" s="11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</row>
    <row r="1270">
      <c r="A1270" s="11"/>
      <c r="B1270" s="10"/>
      <c r="C1270" s="15"/>
      <c r="D1270" s="12"/>
      <c r="E1270" s="16"/>
      <c r="F1270" s="10"/>
      <c r="G1270" s="10"/>
      <c r="H1270" s="10"/>
      <c r="I1270" s="11"/>
      <c r="J1270" s="11"/>
      <c r="K1270" s="11"/>
      <c r="L1270" s="11"/>
      <c r="M1270" s="10"/>
      <c r="N1270" s="2"/>
      <c r="O1270" s="11"/>
      <c r="P1270" s="11"/>
      <c r="Q1270" s="11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</row>
    <row r="1271">
      <c r="A1271" s="11"/>
      <c r="B1271" s="10"/>
      <c r="C1271" s="15"/>
      <c r="D1271" s="12"/>
      <c r="E1271" s="16"/>
      <c r="F1271" s="10"/>
      <c r="G1271" s="10"/>
      <c r="H1271" s="10"/>
      <c r="I1271" s="11"/>
      <c r="J1271" s="11"/>
      <c r="K1271" s="11"/>
      <c r="L1271" s="11"/>
      <c r="M1271" s="10"/>
      <c r="N1271" s="2"/>
      <c r="O1271" s="11"/>
      <c r="P1271" s="11"/>
      <c r="Q1271" s="11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</row>
    <row r="1272">
      <c r="A1272" s="11"/>
      <c r="B1272" s="10"/>
      <c r="C1272" s="15"/>
      <c r="D1272" s="12"/>
      <c r="E1272" s="16"/>
      <c r="F1272" s="10"/>
      <c r="G1272" s="10"/>
      <c r="H1272" s="10"/>
      <c r="I1272" s="11"/>
      <c r="J1272" s="11"/>
      <c r="K1272" s="11"/>
      <c r="L1272" s="11"/>
      <c r="M1272" s="10"/>
      <c r="N1272" s="2"/>
      <c r="O1272" s="11"/>
      <c r="P1272" s="11"/>
      <c r="Q1272" s="11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</row>
    <row r="1273">
      <c r="A1273" s="11"/>
      <c r="B1273" s="10"/>
      <c r="C1273" s="15"/>
      <c r="D1273" s="12"/>
      <c r="E1273" s="16"/>
      <c r="F1273" s="10"/>
      <c r="G1273" s="10"/>
      <c r="H1273" s="10"/>
      <c r="I1273" s="11"/>
      <c r="J1273" s="11"/>
      <c r="K1273" s="11"/>
      <c r="L1273" s="11"/>
      <c r="M1273" s="10"/>
      <c r="N1273" s="2"/>
      <c r="O1273" s="11"/>
      <c r="P1273" s="11"/>
      <c r="Q1273" s="11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</row>
    <row r="1274">
      <c r="A1274" s="11"/>
      <c r="B1274" s="10"/>
      <c r="C1274" s="15"/>
      <c r="D1274" s="12"/>
      <c r="E1274" s="16"/>
      <c r="F1274" s="10"/>
      <c r="G1274" s="10"/>
      <c r="H1274" s="10"/>
      <c r="I1274" s="11"/>
      <c r="J1274" s="11"/>
      <c r="K1274" s="11"/>
      <c r="L1274" s="11"/>
      <c r="M1274" s="10"/>
      <c r="N1274" s="2"/>
      <c r="O1274" s="11"/>
      <c r="P1274" s="11"/>
      <c r="Q1274" s="11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</row>
    <row r="1275">
      <c r="A1275" s="11"/>
      <c r="B1275" s="10"/>
      <c r="C1275" s="15"/>
      <c r="D1275" s="12"/>
      <c r="E1275" s="16"/>
      <c r="F1275" s="10"/>
      <c r="G1275" s="10"/>
      <c r="H1275" s="10"/>
      <c r="I1275" s="11"/>
      <c r="J1275" s="11"/>
      <c r="K1275" s="11"/>
      <c r="L1275" s="11"/>
      <c r="M1275" s="10"/>
      <c r="N1275" s="2"/>
      <c r="O1275" s="11"/>
      <c r="P1275" s="11"/>
      <c r="Q1275" s="11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</row>
    <row r="1276">
      <c r="A1276" s="11"/>
      <c r="B1276" s="10"/>
      <c r="C1276" s="15"/>
      <c r="D1276" s="12"/>
      <c r="E1276" s="16"/>
      <c r="F1276" s="10"/>
      <c r="G1276" s="10"/>
      <c r="H1276" s="10"/>
      <c r="I1276" s="11"/>
      <c r="J1276" s="11"/>
      <c r="K1276" s="11"/>
      <c r="L1276" s="11"/>
      <c r="M1276" s="10"/>
      <c r="N1276" s="2"/>
      <c r="O1276" s="11"/>
      <c r="P1276" s="11"/>
      <c r="Q1276" s="11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</row>
    <row r="1277">
      <c r="A1277" s="11"/>
      <c r="B1277" s="10"/>
      <c r="C1277" s="15"/>
      <c r="D1277" s="12"/>
      <c r="E1277" s="16"/>
      <c r="F1277" s="10"/>
      <c r="G1277" s="10"/>
      <c r="H1277" s="10"/>
      <c r="I1277" s="11"/>
      <c r="J1277" s="11"/>
      <c r="K1277" s="11"/>
      <c r="L1277" s="11"/>
      <c r="M1277" s="10"/>
      <c r="N1277" s="2"/>
      <c r="O1277" s="11"/>
      <c r="P1277" s="11"/>
      <c r="Q1277" s="11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</row>
    <row r="1278">
      <c r="A1278" s="11"/>
      <c r="B1278" s="10"/>
      <c r="C1278" s="15"/>
      <c r="D1278" s="12"/>
      <c r="E1278" s="16"/>
      <c r="F1278" s="10"/>
      <c r="G1278" s="10"/>
      <c r="H1278" s="10"/>
      <c r="I1278" s="11"/>
      <c r="J1278" s="11"/>
      <c r="K1278" s="11"/>
      <c r="L1278" s="11"/>
      <c r="M1278" s="10"/>
      <c r="N1278" s="2"/>
      <c r="O1278" s="11"/>
      <c r="P1278" s="11"/>
      <c r="Q1278" s="11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</row>
    <row r="1279">
      <c r="A1279" s="11"/>
      <c r="B1279" s="10"/>
      <c r="C1279" s="15"/>
      <c r="D1279" s="12"/>
      <c r="E1279" s="16"/>
      <c r="F1279" s="10"/>
      <c r="G1279" s="10"/>
      <c r="H1279" s="10"/>
      <c r="I1279" s="11"/>
      <c r="J1279" s="11"/>
      <c r="K1279" s="11"/>
      <c r="L1279" s="11"/>
      <c r="M1279" s="10"/>
      <c r="N1279" s="2"/>
      <c r="O1279" s="11"/>
      <c r="P1279" s="11"/>
      <c r="Q1279" s="11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</row>
    <row r="1280">
      <c r="A1280" s="11"/>
      <c r="B1280" s="10"/>
      <c r="C1280" s="15"/>
      <c r="D1280" s="12"/>
      <c r="E1280" s="16"/>
      <c r="F1280" s="10"/>
      <c r="G1280" s="10"/>
      <c r="H1280" s="10"/>
      <c r="I1280" s="11"/>
      <c r="J1280" s="11"/>
      <c r="K1280" s="11"/>
      <c r="L1280" s="11"/>
      <c r="M1280" s="10"/>
      <c r="N1280" s="2"/>
      <c r="O1280" s="11"/>
      <c r="P1280" s="11"/>
      <c r="Q1280" s="11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</row>
    <row r="1281">
      <c r="A1281" s="11"/>
      <c r="B1281" s="10"/>
      <c r="C1281" s="15"/>
      <c r="D1281" s="12"/>
      <c r="E1281" s="16"/>
      <c r="F1281" s="10"/>
      <c r="G1281" s="10"/>
      <c r="H1281" s="10"/>
      <c r="I1281" s="11"/>
      <c r="J1281" s="11"/>
      <c r="K1281" s="11"/>
      <c r="L1281" s="11"/>
      <c r="M1281" s="10"/>
      <c r="N1281" s="2"/>
      <c r="O1281" s="11"/>
      <c r="P1281" s="11"/>
      <c r="Q1281" s="11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</row>
    <row r="1282">
      <c r="A1282" s="11"/>
      <c r="B1282" s="10"/>
      <c r="C1282" s="15"/>
      <c r="D1282" s="12"/>
      <c r="E1282" s="16"/>
      <c r="F1282" s="10"/>
      <c r="G1282" s="10"/>
      <c r="H1282" s="10"/>
      <c r="I1282" s="11"/>
      <c r="J1282" s="11"/>
      <c r="K1282" s="11"/>
      <c r="L1282" s="11"/>
      <c r="M1282" s="10"/>
      <c r="N1282" s="2"/>
      <c r="O1282" s="11"/>
      <c r="P1282" s="11"/>
      <c r="Q1282" s="11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</row>
    <row r="1283">
      <c r="A1283" s="11"/>
      <c r="B1283" s="10"/>
      <c r="C1283" s="15"/>
      <c r="D1283" s="12"/>
      <c r="E1283" s="16"/>
      <c r="F1283" s="10"/>
      <c r="G1283" s="10"/>
      <c r="H1283" s="10"/>
      <c r="I1283" s="11"/>
      <c r="J1283" s="11"/>
      <c r="K1283" s="11"/>
      <c r="L1283" s="11"/>
      <c r="M1283" s="10"/>
      <c r="N1283" s="2"/>
      <c r="O1283" s="11"/>
      <c r="P1283" s="11"/>
      <c r="Q1283" s="11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</row>
    <row r="1284">
      <c r="A1284" s="11"/>
      <c r="B1284" s="10"/>
      <c r="C1284" s="15"/>
      <c r="D1284" s="12"/>
      <c r="E1284" s="16"/>
      <c r="F1284" s="10"/>
      <c r="G1284" s="10"/>
      <c r="H1284" s="10"/>
      <c r="I1284" s="11"/>
      <c r="J1284" s="11"/>
      <c r="K1284" s="11"/>
      <c r="L1284" s="11"/>
      <c r="M1284" s="10"/>
      <c r="N1284" s="2"/>
      <c r="O1284" s="11"/>
      <c r="P1284" s="11"/>
      <c r="Q1284" s="11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</row>
    <row r="1285">
      <c r="A1285" s="11"/>
      <c r="B1285" s="10"/>
      <c r="C1285" s="15"/>
      <c r="D1285" s="12"/>
      <c r="E1285" s="16"/>
      <c r="F1285" s="10"/>
      <c r="G1285" s="10"/>
      <c r="H1285" s="10"/>
      <c r="I1285" s="11"/>
      <c r="J1285" s="11"/>
      <c r="K1285" s="11"/>
      <c r="L1285" s="11"/>
      <c r="M1285" s="10"/>
      <c r="N1285" s="2"/>
      <c r="O1285" s="11"/>
      <c r="P1285" s="11"/>
      <c r="Q1285" s="11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</row>
    <row r="1286">
      <c r="A1286" s="11"/>
      <c r="B1286" s="10"/>
      <c r="C1286" s="15"/>
      <c r="D1286" s="12"/>
      <c r="E1286" s="16"/>
      <c r="F1286" s="10"/>
      <c r="G1286" s="10"/>
      <c r="H1286" s="10"/>
      <c r="I1286" s="11"/>
      <c r="J1286" s="11"/>
      <c r="K1286" s="11"/>
      <c r="L1286" s="11"/>
      <c r="M1286" s="10"/>
      <c r="N1286" s="2"/>
      <c r="O1286" s="11"/>
      <c r="P1286" s="11"/>
      <c r="Q1286" s="11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</row>
    <row r="1287">
      <c r="A1287" s="11"/>
      <c r="B1287" s="10"/>
      <c r="C1287" s="15"/>
      <c r="D1287" s="12"/>
      <c r="E1287" s="16"/>
      <c r="F1287" s="10"/>
      <c r="G1287" s="10"/>
      <c r="H1287" s="10"/>
      <c r="I1287" s="11"/>
      <c r="J1287" s="11"/>
      <c r="K1287" s="11"/>
      <c r="L1287" s="11"/>
      <c r="M1287" s="10"/>
      <c r="N1287" s="2"/>
      <c r="O1287" s="11"/>
      <c r="P1287" s="11"/>
      <c r="Q1287" s="11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</row>
    <row r="1288">
      <c r="A1288" s="11"/>
      <c r="B1288" s="10"/>
      <c r="C1288" s="15"/>
      <c r="D1288" s="12"/>
      <c r="E1288" s="16"/>
      <c r="F1288" s="10"/>
      <c r="G1288" s="10"/>
      <c r="H1288" s="10"/>
      <c r="I1288" s="11"/>
      <c r="J1288" s="11"/>
      <c r="K1288" s="11"/>
      <c r="L1288" s="11"/>
      <c r="M1288" s="10"/>
      <c r="N1288" s="2"/>
      <c r="O1288" s="11"/>
      <c r="P1288" s="11"/>
      <c r="Q1288" s="11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</row>
    <row r="1289">
      <c r="A1289" s="11"/>
      <c r="B1289" s="10"/>
      <c r="C1289" s="15"/>
      <c r="D1289" s="12"/>
      <c r="E1289" s="16"/>
      <c r="F1289" s="10"/>
      <c r="G1289" s="10"/>
      <c r="H1289" s="10"/>
      <c r="I1289" s="11"/>
      <c r="J1289" s="11"/>
      <c r="K1289" s="11"/>
      <c r="L1289" s="11"/>
      <c r="M1289" s="10"/>
      <c r="N1289" s="2"/>
      <c r="O1289" s="11"/>
      <c r="P1289" s="11"/>
      <c r="Q1289" s="11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</row>
    <row r="1290">
      <c r="A1290" s="11"/>
      <c r="B1290" s="10"/>
      <c r="C1290" s="15"/>
      <c r="D1290" s="12"/>
      <c r="E1290" s="16"/>
      <c r="F1290" s="10"/>
      <c r="G1290" s="10"/>
      <c r="H1290" s="10"/>
      <c r="I1290" s="11"/>
      <c r="J1290" s="11"/>
      <c r="K1290" s="11"/>
      <c r="L1290" s="11"/>
      <c r="M1290" s="10"/>
      <c r="N1290" s="2"/>
      <c r="O1290" s="11"/>
      <c r="P1290" s="11"/>
      <c r="Q1290" s="11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</row>
    <row r="1291">
      <c r="A1291" s="11"/>
      <c r="B1291" s="10"/>
      <c r="C1291" s="15"/>
      <c r="D1291" s="12"/>
      <c r="E1291" s="16"/>
      <c r="F1291" s="10"/>
      <c r="G1291" s="10"/>
      <c r="H1291" s="10"/>
      <c r="I1291" s="11"/>
      <c r="J1291" s="11"/>
      <c r="K1291" s="11"/>
      <c r="L1291" s="11"/>
      <c r="M1291" s="10"/>
      <c r="N1291" s="2"/>
      <c r="O1291" s="11"/>
      <c r="P1291" s="11"/>
      <c r="Q1291" s="11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</row>
    <row r="1292">
      <c r="A1292" s="11"/>
      <c r="B1292" s="10"/>
      <c r="C1292" s="15"/>
      <c r="D1292" s="12"/>
      <c r="E1292" s="16"/>
      <c r="F1292" s="10"/>
      <c r="G1292" s="10"/>
      <c r="H1292" s="10"/>
      <c r="I1292" s="11"/>
      <c r="J1292" s="11"/>
      <c r="K1292" s="11"/>
      <c r="L1292" s="11"/>
      <c r="M1292" s="10"/>
      <c r="N1292" s="2"/>
      <c r="O1292" s="11"/>
      <c r="P1292" s="11"/>
      <c r="Q1292" s="11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</row>
    <row r="1293">
      <c r="A1293" s="11"/>
      <c r="B1293" s="10"/>
      <c r="C1293" s="15"/>
      <c r="D1293" s="12"/>
      <c r="E1293" s="16"/>
      <c r="F1293" s="10"/>
      <c r="G1293" s="10"/>
      <c r="H1293" s="10"/>
      <c r="I1293" s="11"/>
      <c r="J1293" s="11"/>
      <c r="K1293" s="11"/>
      <c r="L1293" s="11"/>
      <c r="M1293" s="10"/>
      <c r="N1293" s="2"/>
      <c r="O1293" s="11"/>
      <c r="P1293" s="11"/>
      <c r="Q1293" s="11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</row>
    <row r="1294">
      <c r="A1294" s="11"/>
      <c r="B1294" s="10"/>
      <c r="C1294" s="15"/>
      <c r="D1294" s="12"/>
      <c r="E1294" s="16"/>
      <c r="F1294" s="10"/>
      <c r="G1294" s="10"/>
      <c r="H1294" s="10"/>
      <c r="I1294" s="11"/>
      <c r="J1294" s="11"/>
      <c r="K1294" s="11"/>
      <c r="L1294" s="11"/>
      <c r="M1294" s="10"/>
      <c r="N1294" s="2"/>
      <c r="O1294" s="11"/>
      <c r="P1294" s="11"/>
      <c r="Q1294" s="11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</row>
    <row r="1295">
      <c r="A1295" s="11"/>
      <c r="B1295" s="10"/>
      <c r="C1295" s="15"/>
      <c r="D1295" s="12"/>
      <c r="E1295" s="16"/>
      <c r="F1295" s="10"/>
      <c r="G1295" s="10"/>
      <c r="H1295" s="10"/>
      <c r="I1295" s="11"/>
      <c r="J1295" s="11"/>
      <c r="K1295" s="11"/>
      <c r="L1295" s="11"/>
      <c r="M1295" s="10"/>
      <c r="N1295" s="2"/>
      <c r="O1295" s="11"/>
      <c r="P1295" s="11"/>
      <c r="Q1295" s="11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</row>
    <row r="1296">
      <c r="A1296" s="11"/>
      <c r="B1296" s="10"/>
      <c r="C1296" s="15"/>
      <c r="D1296" s="12"/>
      <c r="E1296" s="16"/>
      <c r="F1296" s="10"/>
      <c r="G1296" s="10"/>
      <c r="H1296" s="10"/>
      <c r="I1296" s="11"/>
      <c r="J1296" s="11"/>
      <c r="K1296" s="11"/>
      <c r="L1296" s="11"/>
      <c r="M1296" s="10"/>
      <c r="N1296" s="2"/>
      <c r="O1296" s="11"/>
      <c r="P1296" s="11"/>
      <c r="Q1296" s="11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</row>
    <row r="1297">
      <c r="A1297" s="11"/>
      <c r="B1297" s="10"/>
      <c r="C1297" s="15"/>
      <c r="D1297" s="12"/>
      <c r="E1297" s="16"/>
      <c r="F1297" s="10"/>
      <c r="G1297" s="10"/>
      <c r="H1297" s="10"/>
      <c r="I1297" s="11"/>
      <c r="J1297" s="11"/>
      <c r="K1297" s="11"/>
      <c r="L1297" s="11"/>
      <c r="M1297" s="10"/>
      <c r="N1297" s="2"/>
      <c r="O1297" s="11"/>
      <c r="P1297" s="11"/>
      <c r="Q1297" s="11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</row>
    <row r="1298">
      <c r="A1298" s="11"/>
      <c r="B1298" s="10"/>
      <c r="C1298" s="15"/>
      <c r="D1298" s="12"/>
      <c r="E1298" s="16"/>
      <c r="F1298" s="10"/>
      <c r="G1298" s="10"/>
      <c r="H1298" s="10"/>
      <c r="I1298" s="11"/>
      <c r="J1298" s="11"/>
      <c r="K1298" s="11"/>
      <c r="L1298" s="11"/>
      <c r="M1298" s="10"/>
      <c r="N1298" s="2"/>
      <c r="O1298" s="11"/>
      <c r="P1298" s="11"/>
      <c r="Q1298" s="11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</row>
    <row r="1299">
      <c r="A1299" s="11"/>
      <c r="B1299" s="10"/>
      <c r="C1299" s="15"/>
      <c r="D1299" s="12"/>
      <c r="E1299" s="16"/>
      <c r="F1299" s="10"/>
      <c r="G1299" s="10"/>
      <c r="H1299" s="10"/>
      <c r="I1299" s="11"/>
      <c r="J1299" s="11"/>
      <c r="K1299" s="11"/>
      <c r="L1299" s="11"/>
      <c r="M1299" s="10"/>
      <c r="N1299" s="2"/>
      <c r="O1299" s="11"/>
      <c r="P1299" s="11"/>
      <c r="Q1299" s="11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</row>
    <row r="1300">
      <c r="A1300" s="11"/>
      <c r="B1300" s="10"/>
      <c r="C1300" s="15"/>
      <c r="D1300" s="12"/>
      <c r="E1300" s="16"/>
      <c r="F1300" s="10"/>
      <c r="G1300" s="10"/>
      <c r="H1300" s="10"/>
      <c r="I1300" s="11"/>
      <c r="J1300" s="11"/>
      <c r="K1300" s="11"/>
      <c r="L1300" s="11"/>
      <c r="M1300" s="10"/>
      <c r="N1300" s="2"/>
      <c r="O1300" s="11"/>
      <c r="P1300" s="11"/>
      <c r="Q1300" s="11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</row>
    <row r="1301">
      <c r="A1301" s="11"/>
      <c r="B1301" s="10"/>
      <c r="C1301" s="15"/>
      <c r="D1301" s="12"/>
      <c r="E1301" s="16"/>
      <c r="F1301" s="10"/>
      <c r="G1301" s="10"/>
      <c r="H1301" s="10"/>
      <c r="I1301" s="11"/>
      <c r="J1301" s="11"/>
      <c r="K1301" s="11"/>
      <c r="L1301" s="11"/>
      <c r="M1301" s="10"/>
      <c r="N1301" s="2"/>
      <c r="O1301" s="11"/>
      <c r="P1301" s="11"/>
      <c r="Q1301" s="11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</row>
    <row r="1302">
      <c r="A1302" s="11"/>
      <c r="B1302" s="10"/>
      <c r="C1302" s="15"/>
      <c r="D1302" s="12"/>
      <c r="E1302" s="16"/>
      <c r="F1302" s="10"/>
      <c r="G1302" s="10"/>
      <c r="H1302" s="10"/>
      <c r="I1302" s="11"/>
      <c r="J1302" s="11"/>
      <c r="K1302" s="11"/>
      <c r="L1302" s="11"/>
      <c r="M1302" s="10"/>
      <c r="N1302" s="2"/>
      <c r="O1302" s="11"/>
      <c r="P1302" s="11"/>
      <c r="Q1302" s="11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</row>
    <row r="1303">
      <c r="A1303" s="11"/>
      <c r="B1303" s="10"/>
      <c r="C1303" s="15"/>
      <c r="D1303" s="12"/>
      <c r="E1303" s="16"/>
      <c r="F1303" s="10"/>
      <c r="G1303" s="10"/>
      <c r="H1303" s="10"/>
      <c r="I1303" s="11"/>
      <c r="J1303" s="11"/>
      <c r="K1303" s="11"/>
      <c r="L1303" s="11"/>
      <c r="M1303" s="10"/>
      <c r="N1303" s="2"/>
      <c r="O1303" s="11"/>
      <c r="P1303" s="11"/>
      <c r="Q1303" s="11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</row>
    <row r="1304">
      <c r="A1304" s="11"/>
      <c r="B1304" s="10"/>
      <c r="C1304" s="15"/>
      <c r="D1304" s="12"/>
      <c r="E1304" s="16"/>
      <c r="F1304" s="10"/>
      <c r="G1304" s="10"/>
      <c r="H1304" s="10"/>
      <c r="I1304" s="11"/>
      <c r="J1304" s="11"/>
      <c r="K1304" s="11"/>
      <c r="L1304" s="11"/>
      <c r="M1304" s="10"/>
      <c r="N1304" s="2"/>
      <c r="O1304" s="11"/>
      <c r="P1304" s="11"/>
      <c r="Q1304" s="11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</row>
    <row r="1305">
      <c r="A1305" s="11"/>
      <c r="B1305" s="10"/>
      <c r="C1305" s="15"/>
      <c r="D1305" s="12"/>
      <c r="E1305" s="16"/>
      <c r="F1305" s="10"/>
      <c r="G1305" s="10"/>
      <c r="H1305" s="10"/>
      <c r="I1305" s="11"/>
      <c r="J1305" s="11"/>
      <c r="K1305" s="11"/>
      <c r="L1305" s="11"/>
      <c r="M1305" s="10"/>
      <c r="N1305" s="2"/>
      <c r="O1305" s="11"/>
      <c r="P1305" s="11"/>
      <c r="Q1305" s="11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</row>
    <row r="1306">
      <c r="A1306" s="11"/>
      <c r="B1306" s="10"/>
      <c r="C1306" s="15"/>
      <c r="D1306" s="12"/>
      <c r="E1306" s="16"/>
      <c r="F1306" s="10"/>
      <c r="G1306" s="10"/>
      <c r="H1306" s="10"/>
      <c r="I1306" s="11"/>
      <c r="J1306" s="11"/>
      <c r="K1306" s="11"/>
      <c r="L1306" s="11"/>
      <c r="M1306" s="10"/>
      <c r="N1306" s="2"/>
      <c r="O1306" s="11"/>
      <c r="P1306" s="11"/>
      <c r="Q1306" s="11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</row>
    <row r="1307">
      <c r="A1307" s="11"/>
      <c r="B1307" s="10"/>
      <c r="C1307" s="15"/>
      <c r="D1307" s="12"/>
      <c r="E1307" s="16"/>
      <c r="F1307" s="10"/>
      <c r="G1307" s="10"/>
      <c r="H1307" s="10"/>
      <c r="I1307" s="11"/>
      <c r="J1307" s="11"/>
      <c r="K1307" s="11"/>
      <c r="L1307" s="11"/>
      <c r="M1307" s="10"/>
      <c r="N1307" s="2"/>
      <c r="O1307" s="11"/>
      <c r="P1307" s="11"/>
      <c r="Q1307" s="11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</row>
    <row r="1308">
      <c r="A1308" s="11"/>
      <c r="B1308" s="10"/>
      <c r="C1308" s="15"/>
      <c r="D1308" s="12"/>
      <c r="E1308" s="16"/>
      <c r="F1308" s="10"/>
      <c r="G1308" s="10"/>
      <c r="H1308" s="10"/>
      <c r="I1308" s="11"/>
      <c r="J1308" s="11"/>
      <c r="K1308" s="11"/>
      <c r="L1308" s="11"/>
      <c r="M1308" s="10"/>
      <c r="N1308" s="2"/>
      <c r="O1308" s="11"/>
      <c r="P1308" s="11"/>
      <c r="Q1308" s="11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</row>
    <row r="1309">
      <c r="A1309" s="11"/>
      <c r="B1309" s="10"/>
      <c r="C1309" s="15"/>
      <c r="D1309" s="12"/>
      <c r="E1309" s="16"/>
      <c r="F1309" s="10"/>
      <c r="G1309" s="10"/>
      <c r="H1309" s="10"/>
      <c r="I1309" s="11"/>
      <c r="J1309" s="11"/>
      <c r="K1309" s="11"/>
      <c r="L1309" s="11"/>
      <c r="M1309" s="10"/>
      <c r="N1309" s="2"/>
      <c r="O1309" s="11"/>
      <c r="P1309" s="11"/>
      <c r="Q1309" s="11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</row>
    <row r="1310">
      <c r="A1310" s="11"/>
      <c r="B1310" s="10"/>
      <c r="C1310" s="15"/>
      <c r="D1310" s="12"/>
      <c r="E1310" s="16"/>
      <c r="F1310" s="10"/>
      <c r="G1310" s="10"/>
      <c r="H1310" s="10"/>
      <c r="I1310" s="11"/>
      <c r="J1310" s="11"/>
      <c r="K1310" s="11"/>
      <c r="L1310" s="11"/>
      <c r="M1310" s="10"/>
      <c r="N1310" s="2"/>
      <c r="O1310" s="11"/>
      <c r="P1310" s="11"/>
      <c r="Q1310" s="11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</row>
    <row r="1311">
      <c r="A1311" s="11"/>
      <c r="B1311" s="10"/>
      <c r="C1311" s="15"/>
      <c r="D1311" s="12"/>
      <c r="E1311" s="16"/>
      <c r="F1311" s="10"/>
      <c r="G1311" s="10"/>
      <c r="H1311" s="10"/>
      <c r="I1311" s="11"/>
      <c r="J1311" s="11"/>
      <c r="K1311" s="11"/>
      <c r="L1311" s="11"/>
      <c r="M1311" s="10"/>
      <c r="N1311" s="2"/>
      <c r="O1311" s="11"/>
      <c r="P1311" s="11"/>
      <c r="Q1311" s="11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</row>
    <row r="1312">
      <c r="A1312" s="11"/>
      <c r="B1312" s="10"/>
      <c r="C1312" s="15"/>
      <c r="D1312" s="12"/>
      <c r="E1312" s="16"/>
      <c r="F1312" s="10"/>
      <c r="G1312" s="10"/>
      <c r="H1312" s="10"/>
      <c r="I1312" s="11"/>
      <c r="J1312" s="11"/>
      <c r="K1312" s="11"/>
      <c r="L1312" s="11"/>
      <c r="M1312" s="10"/>
      <c r="N1312" s="2"/>
      <c r="O1312" s="11"/>
      <c r="P1312" s="11"/>
      <c r="Q1312" s="11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</row>
    <row r="1313">
      <c r="A1313" s="11"/>
      <c r="B1313" s="10"/>
      <c r="C1313" s="15"/>
      <c r="D1313" s="12"/>
      <c r="E1313" s="16"/>
      <c r="F1313" s="10"/>
      <c r="G1313" s="10"/>
      <c r="H1313" s="10"/>
      <c r="I1313" s="11"/>
      <c r="J1313" s="11"/>
      <c r="K1313" s="11"/>
      <c r="L1313" s="11"/>
      <c r="M1313" s="10"/>
      <c r="N1313" s="2"/>
      <c r="O1313" s="11"/>
      <c r="P1313" s="11"/>
      <c r="Q1313" s="11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</row>
    <row r="1314">
      <c r="A1314" s="11"/>
      <c r="B1314" s="10"/>
      <c r="C1314" s="15"/>
      <c r="D1314" s="12"/>
      <c r="E1314" s="16"/>
      <c r="F1314" s="10"/>
      <c r="G1314" s="10"/>
      <c r="H1314" s="10"/>
      <c r="I1314" s="11"/>
      <c r="J1314" s="11"/>
      <c r="K1314" s="11"/>
      <c r="L1314" s="11"/>
      <c r="M1314" s="10"/>
      <c r="N1314" s="2"/>
      <c r="O1314" s="11"/>
      <c r="P1314" s="11"/>
      <c r="Q1314" s="11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</row>
    <row r="1315">
      <c r="A1315" s="11"/>
      <c r="B1315" s="10"/>
      <c r="C1315" s="15"/>
      <c r="D1315" s="12"/>
      <c r="E1315" s="16"/>
      <c r="F1315" s="10"/>
      <c r="G1315" s="10"/>
      <c r="H1315" s="10"/>
      <c r="I1315" s="11"/>
      <c r="J1315" s="11"/>
      <c r="K1315" s="11"/>
      <c r="L1315" s="11"/>
      <c r="M1315" s="10"/>
      <c r="N1315" s="2"/>
      <c r="O1315" s="11"/>
      <c r="P1315" s="11"/>
      <c r="Q1315" s="11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</row>
    <row r="1316">
      <c r="A1316" s="11"/>
      <c r="B1316" s="10"/>
      <c r="C1316" s="15"/>
      <c r="D1316" s="12"/>
      <c r="E1316" s="16"/>
      <c r="F1316" s="10"/>
      <c r="G1316" s="10"/>
      <c r="H1316" s="10"/>
      <c r="I1316" s="11"/>
      <c r="J1316" s="11"/>
      <c r="K1316" s="11"/>
      <c r="L1316" s="11"/>
      <c r="M1316" s="10"/>
      <c r="N1316" s="2"/>
      <c r="O1316" s="11"/>
      <c r="P1316" s="11"/>
      <c r="Q1316" s="11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</row>
    <row r="1317">
      <c r="A1317" s="11"/>
      <c r="B1317" s="10"/>
      <c r="C1317" s="15"/>
      <c r="D1317" s="12"/>
      <c r="E1317" s="16"/>
      <c r="F1317" s="10"/>
      <c r="G1317" s="10"/>
      <c r="H1317" s="10"/>
      <c r="I1317" s="11"/>
      <c r="J1317" s="11"/>
      <c r="K1317" s="11"/>
      <c r="L1317" s="11"/>
      <c r="M1317" s="10"/>
      <c r="N1317" s="2"/>
      <c r="O1317" s="11"/>
      <c r="P1317" s="11"/>
      <c r="Q1317" s="11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</row>
    <row r="1318">
      <c r="A1318" s="11"/>
      <c r="B1318" s="10"/>
      <c r="C1318" s="15"/>
      <c r="D1318" s="12"/>
      <c r="E1318" s="16"/>
      <c r="F1318" s="10"/>
      <c r="G1318" s="10"/>
      <c r="H1318" s="10"/>
      <c r="I1318" s="11"/>
      <c r="J1318" s="11"/>
      <c r="K1318" s="11"/>
      <c r="L1318" s="11"/>
      <c r="M1318" s="10"/>
      <c r="N1318" s="2"/>
      <c r="O1318" s="11"/>
      <c r="P1318" s="11"/>
      <c r="Q1318" s="11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</row>
    <row r="1319">
      <c r="A1319" s="11"/>
      <c r="B1319" s="10"/>
      <c r="C1319" s="15"/>
      <c r="D1319" s="12"/>
      <c r="E1319" s="16"/>
      <c r="F1319" s="10"/>
      <c r="G1319" s="10"/>
      <c r="H1319" s="10"/>
      <c r="I1319" s="11"/>
      <c r="J1319" s="11"/>
      <c r="K1319" s="11"/>
      <c r="L1319" s="11"/>
      <c r="M1319" s="10"/>
      <c r="N1319" s="2"/>
      <c r="O1319" s="11"/>
      <c r="P1319" s="11"/>
      <c r="Q1319" s="11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</row>
    <row r="1320">
      <c r="A1320" s="11"/>
      <c r="B1320" s="10"/>
      <c r="C1320" s="15"/>
      <c r="D1320" s="12"/>
      <c r="E1320" s="16"/>
      <c r="F1320" s="10"/>
      <c r="G1320" s="10"/>
      <c r="H1320" s="10"/>
      <c r="I1320" s="11"/>
      <c r="J1320" s="11"/>
      <c r="K1320" s="11"/>
      <c r="L1320" s="11"/>
      <c r="M1320" s="10"/>
      <c r="N1320" s="2"/>
      <c r="O1320" s="11"/>
      <c r="P1320" s="11"/>
      <c r="Q1320" s="11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</row>
    <row r="1321">
      <c r="A1321" s="11"/>
      <c r="B1321" s="10"/>
      <c r="C1321" s="15"/>
      <c r="D1321" s="12"/>
      <c r="E1321" s="16"/>
      <c r="F1321" s="10"/>
      <c r="G1321" s="10"/>
      <c r="H1321" s="10"/>
      <c r="I1321" s="11"/>
      <c r="J1321" s="11"/>
      <c r="K1321" s="11"/>
      <c r="L1321" s="11"/>
      <c r="M1321" s="10"/>
      <c r="N1321" s="2"/>
      <c r="O1321" s="11"/>
      <c r="P1321" s="11"/>
      <c r="Q1321" s="11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</row>
    <row r="1322">
      <c r="A1322" s="11"/>
      <c r="B1322" s="10"/>
      <c r="C1322" s="15"/>
      <c r="D1322" s="12"/>
      <c r="E1322" s="16"/>
      <c r="F1322" s="10"/>
      <c r="G1322" s="10"/>
      <c r="H1322" s="10"/>
      <c r="I1322" s="11"/>
      <c r="J1322" s="11"/>
      <c r="K1322" s="11"/>
      <c r="L1322" s="11"/>
      <c r="M1322" s="10"/>
      <c r="N1322" s="2"/>
      <c r="O1322" s="11"/>
      <c r="P1322" s="11"/>
      <c r="Q1322" s="11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</row>
    <row r="1323">
      <c r="A1323" s="11"/>
      <c r="B1323" s="10"/>
      <c r="C1323" s="15"/>
      <c r="D1323" s="12"/>
      <c r="E1323" s="16"/>
      <c r="F1323" s="10"/>
      <c r="G1323" s="10"/>
      <c r="H1323" s="10"/>
      <c r="I1323" s="11"/>
      <c r="J1323" s="11"/>
      <c r="K1323" s="11"/>
      <c r="L1323" s="11"/>
      <c r="M1323" s="10"/>
      <c r="N1323" s="2"/>
      <c r="O1323" s="11"/>
      <c r="P1323" s="11"/>
      <c r="Q1323" s="11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</row>
    <row r="1324">
      <c r="A1324" s="11"/>
      <c r="B1324" s="10"/>
      <c r="C1324" s="15"/>
      <c r="D1324" s="12"/>
      <c r="E1324" s="16"/>
      <c r="F1324" s="10"/>
      <c r="G1324" s="10"/>
      <c r="H1324" s="10"/>
      <c r="I1324" s="11"/>
      <c r="J1324" s="11"/>
      <c r="K1324" s="11"/>
      <c r="L1324" s="11"/>
      <c r="M1324" s="10"/>
      <c r="N1324" s="2"/>
      <c r="O1324" s="11"/>
      <c r="P1324" s="11"/>
      <c r="Q1324" s="11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</row>
    <row r="1325">
      <c r="A1325" s="11"/>
      <c r="B1325" s="10"/>
      <c r="C1325" s="15"/>
      <c r="D1325" s="12"/>
      <c r="E1325" s="16"/>
      <c r="F1325" s="10"/>
      <c r="G1325" s="10"/>
      <c r="H1325" s="10"/>
      <c r="I1325" s="11"/>
      <c r="J1325" s="11"/>
      <c r="K1325" s="11"/>
      <c r="L1325" s="11"/>
      <c r="M1325" s="10"/>
      <c r="N1325" s="2"/>
      <c r="O1325" s="11"/>
      <c r="P1325" s="11"/>
      <c r="Q1325" s="11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</row>
    <row r="1326">
      <c r="A1326" s="11"/>
      <c r="B1326" s="10"/>
      <c r="C1326" s="15"/>
      <c r="D1326" s="12"/>
      <c r="E1326" s="16"/>
      <c r="F1326" s="10"/>
      <c r="G1326" s="10"/>
      <c r="H1326" s="10"/>
      <c r="I1326" s="11"/>
      <c r="J1326" s="11"/>
      <c r="K1326" s="11"/>
      <c r="L1326" s="11"/>
      <c r="M1326" s="10"/>
      <c r="N1326" s="2"/>
      <c r="O1326" s="11"/>
      <c r="P1326" s="11"/>
      <c r="Q1326" s="11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</row>
    <row r="1327">
      <c r="A1327" s="11"/>
      <c r="B1327" s="10"/>
      <c r="C1327" s="15"/>
      <c r="D1327" s="12"/>
      <c r="E1327" s="16"/>
      <c r="F1327" s="10"/>
      <c r="G1327" s="10"/>
      <c r="H1327" s="10"/>
      <c r="I1327" s="11"/>
      <c r="J1327" s="11"/>
      <c r="K1327" s="11"/>
      <c r="L1327" s="11"/>
      <c r="M1327" s="10"/>
      <c r="N1327" s="2"/>
      <c r="O1327" s="11"/>
      <c r="P1327" s="11"/>
      <c r="Q1327" s="11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</row>
    <row r="1328">
      <c r="A1328" s="11"/>
      <c r="B1328" s="10"/>
      <c r="C1328" s="15"/>
      <c r="D1328" s="12"/>
      <c r="E1328" s="16"/>
      <c r="F1328" s="10"/>
      <c r="G1328" s="10"/>
      <c r="H1328" s="10"/>
      <c r="I1328" s="11"/>
      <c r="J1328" s="11"/>
      <c r="K1328" s="11"/>
      <c r="L1328" s="11"/>
      <c r="M1328" s="10"/>
      <c r="N1328" s="2"/>
      <c r="O1328" s="11"/>
      <c r="P1328" s="11"/>
      <c r="Q1328" s="11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</row>
    <row r="1329">
      <c r="A1329" s="11"/>
      <c r="B1329" s="10"/>
      <c r="C1329" s="15"/>
      <c r="D1329" s="12"/>
      <c r="E1329" s="16"/>
      <c r="F1329" s="10"/>
      <c r="G1329" s="10"/>
      <c r="H1329" s="10"/>
      <c r="I1329" s="11"/>
      <c r="J1329" s="11"/>
      <c r="K1329" s="11"/>
      <c r="L1329" s="11"/>
      <c r="M1329" s="10"/>
      <c r="N1329" s="2"/>
      <c r="O1329" s="11"/>
      <c r="P1329" s="11"/>
      <c r="Q1329" s="11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</row>
    <row r="1330">
      <c r="A1330" s="11"/>
      <c r="B1330" s="10"/>
      <c r="C1330" s="15"/>
      <c r="D1330" s="12"/>
      <c r="E1330" s="16"/>
      <c r="F1330" s="10"/>
      <c r="G1330" s="10"/>
      <c r="H1330" s="10"/>
      <c r="I1330" s="11"/>
      <c r="J1330" s="11"/>
      <c r="K1330" s="11"/>
      <c r="L1330" s="11"/>
      <c r="M1330" s="10"/>
      <c r="N1330" s="2"/>
      <c r="O1330" s="11"/>
      <c r="P1330" s="11"/>
      <c r="Q1330" s="11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</row>
    <row r="1331">
      <c r="A1331" s="11"/>
      <c r="B1331" s="10"/>
      <c r="C1331" s="15"/>
      <c r="D1331" s="12"/>
      <c r="E1331" s="16"/>
      <c r="F1331" s="10"/>
      <c r="G1331" s="10"/>
      <c r="H1331" s="10"/>
      <c r="I1331" s="11"/>
      <c r="J1331" s="11"/>
      <c r="K1331" s="11"/>
      <c r="L1331" s="11"/>
      <c r="M1331" s="10"/>
      <c r="N1331" s="2"/>
      <c r="O1331" s="11"/>
      <c r="P1331" s="11"/>
      <c r="Q1331" s="11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</row>
    <row r="1332">
      <c r="A1332" s="11"/>
      <c r="B1332" s="10"/>
      <c r="C1332" s="15"/>
      <c r="D1332" s="12"/>
      <c r="E1332" s="16"/>
      <c r="F1332" s="10"/>
      <c r="G1332" s="10"/>
      <c r="H1332" s="10"/>
      <c r="I1332" s="11"/>
      <c r="J1332" s="11"/>
      <c r="K1332" s="11"/>
      <c r="L1332" s="11"/>
      <c r="M1332" s="10"/>
      <c r="N1332" s="2"/>
      <c r="O1332" s="11"/>
      <c r="P1332" s="11"/>
      <c r="Q1332" s="11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</row>
    <row r="1333">
      <c r="A1333" s="11"/>
      <c r="B1333" s="10"/>
      <c r="C1333" s="15"/>
      <c r="D1333" s="12"/>
      <c r="E1333" s="16"/>
      <c r="F1333" s="10"/>
      <c r="G1333" s="10"/>
      <c r="H1333" s="10"/>
      <c r="I1333" s="11"/>
      <c r="J1333" s="11"/>
      <c r="K1333" s="11"/>
      <c r="L1333" s="11"/>
      <c r="M1333" s="10"/>
      <c r="N1333" s="2"/>
      <c r="O1333" s="11"/>
      <c r="P1333" s="11"/>
      <c r="Q1333" s="11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</row>
    <row r="1334">
      <c r="A1334" s="11"/>
      <c r="B1334" s="10"/>
      <c r="C1334" s="15"/>
      <c r="D1334" s="12"/>
      <c r="E1334" s="16"/>
      <c r="F1334" s="10"/>
      <c r="G1334" s="10"/>
      <c r="H1334" s="10"/>
      <c r="I1334" s="11"/>
      <c r="J1334" s="11"/>
      <c r="K1334" s="11"/>
      <c r="L1334" s="11"/>
      <c r="M1334" s="10"/>
      <c r="N1334" s="2"/>
      <c r="O1334" s="11"/>
      <c r="P1334" s="11"/>
      <c r="Q1334" s="11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</row>
    <row r="1335">
      <c r="A1335" s="11"/>
      <c r="B1335" s="10"/>
      <c r="C1335" s="15"/>
      <c r="D1335" s="12"/>
      <c r="E1335" s="16"/>
      <c r="F1335" s="10"/>
      <c r="G1335" s="10"/>
      <c r="H1335" s="10"/>
      <c r="I1335" s="11"/>
      <c r="J1335" s="11"/>
      <c r="K1335" s="11"/>
      <c r="L1335" s="11"/>
      <c r="M1335" s="10"/>
      <c r="N1335" s="2"/>
      <c r="O1335" s="11"/>
      <c r="P1335" s="11"/>
      <c r="Q1335" s="11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</row>
    <row r="1336">
      <c r="A1336" s="11"/>
      <c r="B1336" s="10"/>
      <c r="C1336" s="15"/>
      <c r="D1336" s="12"/>
      <c r="E1336" s="16"/>
      <c r="F1336" s="10"/>
      <c r="G1336" s="10"/>
      <c r="H1336" s="10"/>
      <c r="I1336" s="11"/>
      <c r="J1336" s="11"/>
      <c r="K1336" s="11"/>
      <c r="L1336" s="11"/>
      <c r="M1336" s="10"/>
      <c r="N1336" s="2"/>
      <c r="O1336" s="11"/>
      <c r="P1336" s="11"/>
      <c r="Q1336" s="11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</row>
    <row r="1337">
      <c r="A1337" s="11"/>
      <c r="B1337" s="10"/>
      <c r="C1337" s="15"/>
      <c r="D1337" s="12"/>
      <c r="E1337" s="16"/>
      <c r="F1337" s="10"/>
      <c r="G1337" s="10"/>
      <c r="H1337" s="10"/>
      <c r="I1337" s="11"/>
      <c r="J1337" s="11"/>
      <c r="K1337" s="11"/>
      <c r="L1337" s="11"/>
      <c r="M1337" s="10"/>
      <c r="N1337" s="2"/>
      <c r="O1337" s="11"/>
      <c r="P1337" s="11"/>
      <c r="Q1337" s="11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</row>
    <row r="1338">
      <c r="A1338" s="11"/>
      <c r="B1338" s="10"/>
      <c r="C1338" s="15"/>
      <c r="D1338" s="12"/>
      <c r="E1338" s="16"/>
      <c r="F1338" s="10"/>
      <c r="G1338" s="10"/>
      <c r="H1338" s="10"/>
      <c r="I1338" s="11"/>
      <c r="J1338" s="11"/>
      <c r="K1338" s="11"/>
      <c r="L1338" s="11"/>
      <c r="M1338" s="10"/>
      <c r="N1338" s="2"/>
      <c r="O1338" s="11"/>
      <c r="P1338" s="11"/>
      <c r="Q1338" s="11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</row>
    <row r="1339">
      <c r="A1339" s="11"/>
      <c r="B1339" s="10"/>
      <c r="C1339" s="15"/>
      <c r="D1339" s="12"/>
      <c r="E1339" s="16"/>
      <c r="F1339" s="10"/>
      <c r="G1339" s="10"/>
      <c r="H1339" s="10"/>
      <c r="I1339" s="11"/>
      <c r="J1339" s="11"/>
      <c r="K1339" s="11"/>
      <c r="L1339" s="11"/>
      <c r="M1339" s="10"/>
      <c r="N1339" s="2"/>
      <c r="O1339" s="11"/>
      <c r="P1339" s="11"/>
      <c r="Q1339" s="11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</row>
    <row r="1340">
      <c r="A1340" s="11"/>
      <c r="B1340" s="10"/>
      <c r="C1340" s="15"/>
      <c r="D1340" s="12"/>
      <c r="E1340" s="16"/>
      <c r="F1340" s="10"/>
      <c r="G1340" s="10"/>
      <c r="H1340" s="10"/>
      <c r="I1340" s="11"/>
      <c r="J1340" s="11"/>
      <c r="K1340" s="11"/>
      <c r="L1340" s="11"/>
      <c r="M1340" s="10"/>
      <c r="N1340" s="2"/>
      <c r="O1340" s="11"/>
      <c r="P1340" s="11"/>
      <c r="Q1340" s="11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</row>
    <row r="1341">
      <c r="A1341" s="11"/>
      <c r="B1341" s="10"/>
      <c r="C1341" s="15"/>
      <c r="D1341" s="12"/>
      <c r="E1341" s="16"/>
      <c r="F1341" s="10"/>
      <c r="G1341" s="10"/>
      <c r="H1341" s="10"/>
      <c r="I1341" s="11"/>
      <c r="J1341" s="11"/>
      <c r="K1341" s="11"/>
      <c r="L1341" s="11"/>
      <c r="M1341" s="10"/>
      <c r="N1341" s="2"/>
      <c r="O1341" s="11"/>
      <c r="P1341" s="11"/>
      <c r="Q1341" s="11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</row>
    <row r="1342">
      <c r="A1342" s="11"/>
      <c r="B1342" s="10"/>
      <c r="C1342" s="15"/>
      <c r="D1342" s="12"/>
      <c r="E1342" s="16"/>
      <c r="F1342" s="10"/>
      <c r="G1342" s="10"/>
      <c r="H1342" s="10"/>
      <c r="I1342" s="11"/>
      <c r="J1342" s="11"/>
      <c r="K1342" s="11"/>
      <c r="L1342" s="11"/>
      <c r="M1342" s="10"/>
      <c r="N1342" s="2"/>
      <c r="O1342" s="11"/>
      <c r="P1342" s="11"/>
      <c r="Q1342" s="11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</row>
    <row r="1343">
      <c r="A1343" s="11"/>
      <c r="B1343" s="10"/>
      <c r="C1343" s="15"/>
      <c r="D1343" s="12"/>
      <c r="E1343" s="16"/>
      <c r="F1343" s="10"/>
      <c r="G1343" s="10"/>
      <c r="H1343" s="10"/>
      <c r="I1343" s="11"/>
      <c r="J1343" s="11"/>
      <c r="K1343" s="11"/>
      <c r="L1343" s="11"/>
      <c r="M1343" s="10"/>
      <c r="N1343" s="2"/>
      <c r="O1343" s="11"/>
      <c r="P1343" s="11"/>
      <c r="Q1343" s="11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</row>
    <row r="1344">
      <c r="A1344" s="11"/>
      <c r="B1344" s="10"/>
      <c r="C1344" s="15"/>
      <c r="D1344" s="12"/>
      <c r="E1344" s="16"/>
      <c r="F1344" s="10"/>
      <c r="G1344" s="10"/>
      <c r="H1344" s="10"/>
      <c r="I1344" s="11"/>
      <c r="J1344" s="11"/>
      <c r="K1344" s="11"/>
      <c r="L1344" s="11"/>
      <c r="M1344" s="10"/>
      <c r="N1344" s="2"/>
      <c r="O1344" s="11"/>
      <c r="P1344" s="11"/>
      <c r="Q1344" s="11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</row>
    <row r="1345">
      <c r="A1345" s="11"/>
      <c r="B1345" s="10"/>
      <c r="C1345" s="15"/>
      <c r="D1345" s="12"/>
      <c r="E1345" s="16"/>
      <c r="F1345" s="10"/>
      <c r="G1345" s="10"/>
      <c r="H1345" s="10"/>
      <c r="I1345" s="11"/>
      <c r="J1345" s="11"/>
      <c r="K1345" s="11"/>
      <c r="L1345" s="11"/>
      <c r="M1345" s="10"/>
      <c r="N1345" s="2"/>
      <c r="O1345" s="11"/>
      <c r="P1345" s="11"/>
      <c r="Q1345" s="11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</row>
    <row r="1346">
      <c r="A1346" s="11"/>
      <c r="B1346" s="10"/>
      <c r="C1346" s="15"/>
      <c r="D1346" s="12"/>
      <c r="E1346" s="16"/>
      <c r="F1346" s="10"/>
      <c r="G1346" s="10"/>
      <c r="H1346" s="10"/>
      <c r="I1346" s="11"/>
      <c r="J1346" s="11"/>
      <c r="K1346" s="11"/>
      <c r="L1346" s="11"/>
      <c r="M1346" s="10"/>
      <c r="N1346" s="2"/>
      <c r="O1346" s="11"/>
      <c r="P1346" s="11"/>
      <c r="Q1346" s="11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</row>
    <row r="1347">
      <c r="A1347" s="11"/>
      <c r="B1347" s="10"/>
      <c r="C1347" s="15"/>
      <c r="D1347" s="12"/>
      <c r="E1347" s="16"/>
      <c r="F1347" s="10"/>
      <c r="G1347" s="10"/>
      <c r="H1347" s="10"/>
      <c r="I1347" s="11"/>
      <c r="J1347" s="11"/>
      <c r="K1347" s="11"/>
      <c r="L1347" s="11"/>
      <c r="M1347" s="10"/>
      <c r="N1347" s="2"/>
      <c r="O1347" s="11"/>
      <c r="P1347" s="11"/>
      <c r="Q1347" s="11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</row>
    <row r="1348">
      <c r="A1348" s="11"/>
      <c r="B1348" s="10"/>
      <c r="C1348" s="15"/>
      <c r="D1348" s="12"/>
      <c r="E1348" s="16"/>
      <c r="F1348" s="10"/>
      <c r="G1348" s="10"/>
      <c r="H1348" s="10"/>
      <c r="I1348" s="11"/>
      <c r="J1348" s="11"/>
      <c r="K1348" s="11"/>
      <c r="L1348" s="11"/>
      <c r="M1348" s="10"/>
      <c r="N1348" s="2"/>
      <c r="O1348" s="11"/>
      <c r="P1348" s="11"/>
      <c r="Q1348" s="11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</row>
    <row r="1349">
      <c r="A1349" s="11"/>
      <c r="B1349" s="10"/>
      <c r="C1349" s="15"/>
      <c r="D1349" s="12"/>
      <c r="E1349" s="16"/>
      <c r="F1349" s="10"/>
      <c r="G1349" s="10"/>
      <c r="H1349" s="10"/>
      <c r="I1349" s="11"/>
      <c r="J1349" s="11"/>
      <c r="K1349" s="11"/>
      <c r="L1349" s="11"/>
      <c r="M1349" s="10"/>
      <c r="N1349" s="2"/>
      <c r="O1349" s="11"/>
      <c r="P1349" s="11"/>
      <c r="Q1349" s="11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</row>
    <row r="1350">
      <c r="A1350" s="11"/>
      <c r="B1350" s="10"/>
      <c r="C1350" s="15"/>
      <c r="D1350" s="12"/>
      <c r="E1350" s="16"/>
      <c r="F1350" s="10"/>
      <c r="G1350" s="10"/>
      <c r="H1350" s="10"/>
      <c r="I1350" s="11"/>
      <c r="J1350" s="11"/>
      <c r="K1350" s="11"/>
      <c r="L1350" s="11"/>
      <c r="M1350" s="10"/>
      <c r="N1350" s="2"/>
      <c r="O1350" s="11"/>
      <c r="P1350" s="11"/>
      <c r="Q1350" s="11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</row>
    <row r="1351">
      <c r="A1351" s="11"/>
      <c r="B1351" s="10"/>
      <c r="C1351" s="15"/>
      <c r="D1351" s="12"/>
      <c r="E1351" s="16"/>
      <c r="F1351" s="10"/>
      <c r="G1351" s="10"/>
      <c r="H1351" s="10"/>
      <c r="I1351" s="11"/>
      <c r="J1351" s="11"/>
      <c r="K1351" s="11"/>
      <c r="L1351" s="11"/>
      <c r="M1351" s="10"/>
      <c r="N1351" s="2"/>
      <c r="O1351" s="11"/>
      <c r="P1351" s="11"/>
      <c r="Q1351" s="11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</row>
    <row r="1352">
      <c r="A1352" s="11"/>
      <c r="B1352" s="10"/>
      <c r="C1352" s="15"/>
      <c r="D1352" s="12"/>
      <c r="E1352" s="16"/>
      <c r="F1352" s="10"/>
      <c r="G1352" s="10"/>
      <c r="H1352" s="10"/>
      <c r="I1352" s="11"/>
      <c r="J1352" s="11"/>
      <c r="K1352" s="11"/>
      <c r="L1352" s="11"/>
      <c r="M1352" s="10"/>
      <c r="N1352" s="2"/>
      <c r="O1352" s="11"/>
      <c r="P1352" s="11"/>
      <c r="Q1352" s="11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</row>
    <row r="1353">
      <c r="A1353" s="11"/>
      <c r="B1353" s="10"/>
      <c r="C1353" s="15"/>
      <c r="D1353" s="12"/>
      <c r="E1353" s="16"/>
      <c r="F1353" s="10"/>
      <c r="G1353" s="10"/>
      <c r="H1353" s="10"/>
      <c r="I1353" s="11"/>
      <c r="J1353" s="11"/>
      <c r="K1353" s="11"/>
      <c r="L1353" s="11"/>
      <c r="M1353" s="10"/>
      <c r="N1353" s="2"/>
      <c r="O1353" s="11"/>
      <c r="P1353" s="11"/>
      <c r="Q1353" s="11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</row>
    <row r="1354">
      <c r="A1354" s="11"/>
      <c r="B1354" s="10"/>
      <c r="C1354" s="15"/>
      <c r="D1354" s="12"/>
      <c r="E1354" s="16"/>
      <c r="F1354" s="10"/>
      <c r="G1354" s="10"/>
      <c r="H1354" s="10"/>
      <c r="I1354" s="11"/>
      <c r="J1354" s="11"/>
      <c r="K1354" s="11"/>
      <c r="L1354" s="11"/>
      <c r="M1354" s="10"/>
      <c r="N1354" s="2"/>
      <c r="O1354" s="11"/>
      <c r="P1354" s="11"/>
      <c r="Q1354" s="11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</row>
    <row r="1355">
      <c r="A1355" s="11"/>
      <c r="B1355" s="10"/>
      <c r="C1355" s="15"/>
      <c r="D1355" s="12"/>
      <c r="E1355" s="16"/>
      <c r="F1355" s="10"/>
      <c r="G1355" s="10"/>
      <c r="H1355" s="10"/>
      <c r="I1355" s="11"/>
      <c r="J1355" s="11"/>
      <c r="K1355" s="11"/>
      <c r="L1355" s="11"/>
      <c r="M1355" s="10"/>
      <c r="N1355" s="2"/>
      <c r="O1355" s="11"/>
      <c r="P1355" s="11"/>
      <c r="Q1355" s="11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</row>
    <row r="1356">
      <c r="A1356" s="11"/>
      <c r="B1356" s="10"/>
      <c r="C1356" s="15"/>
      <c r="D1356" s="12"/>
      <c r="E1356" s="16"/>
      <c r="F1356" s="10"/>
      <c r="G1356" s="10"/>
      <c r="H1356" s="10"/>
      <c r="I1356" s="11"/>
      <c r="J1356" s="11"/>
      <c r="K1356" s="11"/>
      <c r="L1356" s="11"/>
      <c r="M1356" s="10"/>
      <c r="N1356" s="2"/>
      <c r="O1356" s="11"/>
      <c r="P1356" s="11"/>
      <c r="Q1356" s="11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</row>
    <row r="1357">
      <c r="A1357" s="11"/>
      <c r="B1357" s="10"/>
      <c r="C1357" s="15"/>
      <c r="D1357" s="12"/>
      <c r="E1357" s="16"/>
      <c r="F1357" s="10"/>
      <c r="G1357" s="10"/>
      <c r="H1357" s="10"/>
      <c r="I1357" s="11"/>
      <c r="J1357" s="11"/>
      <c r="K1357" s="11"/>
      <c r="L1357" s="11"/>
      <c r="M1357" s="10"/>
      <c r="N1357" s="2"/>
      <c r="O1357" s="11"/>
      <c r="P1357" s="11"/>
      <c r="Q1357" s="11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</row>
    <row r="1358">
      <c r="A1358" s="11"/>
      <c r="B1358" s="10"/>
      <c r="C1358" s="15"/>
      <c r="D1358" s="12"/>
      <c r="E1358" s="16"/>
      <c r="F1358" s="10"/>
      <c r="G1358" s="10"/>
      <c r="H1358" s="10"/>
      <c r="I1358" s="11"/>
      <c r="J1358" s="11"/>
      <c r="K1358" s="11"/>
      <c r="L1358" s="11"/>
      <c r="M1358" s="10"/>
      <c r="N1358" s="2"/>
      <c r="O1358" s="11"/>
      <c r="P1358" s="11"/>
      <c r="Q1358" s="11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</row>
    <row r="1359">
      <c r="A1359" s="11"/>
      <c r="B1359" s="10"/>
      <c r="C1359" s="15"/>
      <c r="D1359" s="12"/>
      <c r="E1359" s="16"/>
      <c r="F1359" s="10"/>
      <c r="G1359" s="10"/>
      <c r="H1359" s="10"/>
      <c r="I1359" s="11"/>
      <c r="J1359" s="11"/>
      <c r="K1359" s="11"/>
      <c r="L1359" s="11"/>
      <c r="M1359" s="10"/>
      <c r="N1359" s="2"/>
      <c r="O1359" s="11"/>
      <c r="P1359" s="11"/>
      <c r="Q1359" s="11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</row>
    <row r="1360">
      <c r="A1360" s="11"/>
      <c r="B1360" s="10"/>
      <c r="C1360" s="15"/>
      <c r="D1360" s="12"/>
      <c r="E1360" s="16"/>
      <c r="F1360" s="10"/>
      <c r="G1360" s="10"/>
      <c r="H1360" s="10"/>
      <c r="I1360" s="11"/>
      <c r="J1360" s="11"/>
      <c r="K1360" s="11"/>
      <c r="L1360" s="11"/>
      <c r="M1360" s="10"/>
      <c r="N1360" s="2"/>
      <c r="O1360" s="11"/>
      <c r="P1360" s="11"/>
      <c r="Q1360" s="11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</row>
    <row r="1361">
      <c r="A1361" s="11"/>
      <c r="B1361" s="10"/>
      <c r="C1361" s="15"/>
      <c r="D1361" s="12"/>
      <c r="E1361" s="16"/>
      <c r="F1361" s="10"/>
      <c r="G1361" s="10"/>
      <c r="H1361" s="10"/>
      <c r="I1361" s="11"/>
      <c r="J1361" s="11"/>
      <c r="K1361" s="11"/>
      <c r="L1361" s="11"/>
      <c r="M1361" s="10"/>
      <c r="N1361" s="2"/>
      <c r="O1361" s="11"/>
      <c r="P1361" s="11"/>
      <c r="Q1361" s="11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</row>
    <row r="1362">
      <c r="A1362" s="11"/>
      <c r="B1362" s="10"/>
      <c r="C1362" s="15"/>
      <c r="D1362" s="12"/>
      <c r="E1362" s="16"/>
      <c r="F1362" s="10"/>
      <c r="G1362" s="10"/>
      <c r="H1362" s="10"/>
      <c r="I1362" s="11"/>
      <c r="J1362" s="11"/>
      <c r="K1362" s="11"/>
      <c r="L1362" s="11"/>
      <c r="M1362" s="10"/>
      <c r="N1362" s="2"/>
      <c r="O1362" s="11"/>
      <c r="P1362" s="11"/>
      <c r="Q1362" s="11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</row>
    <row r="1363">
      <c r="A1363" s="11"/>
      <c r="B1363" s="10"/>
      <c r="C1363" s="15"/>
      <c r="D1363" s="12"/>
      <c r="E1363" s="16"/>
      <c r="F1363" s="10"/>
      <c r="G1363" s="10"/>
      <c r="H1363" s="10"/>
      <c r="I1363" s="11"/>
      <c r="J1363" s="11"/>
      <c r="K1363" s="11"/>
      <c r="L1363" s="11"/>
      <c r="M1363" s="10"/>
      <c r="N1363" s="2"/>
      <c r="O1363" s="11"/>
      <c r="P1363" s="11"/>
      <c r="Q1363" s="11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</row>
    <row r="1364">
      <c r="A1364" s="11"/>
      <c r="B1364" s="10"/>
      <c r="C1364" s="15"/>
      <c r="D1364" s="12"/>
      <c r="E1364" s="16"/>
      <c r="F1364" s="10"/>
      <c r="G1364" s="10"/>
      <c r="H1364" s="10"/>
      <c r="I1364" s="11"/>
      <c r="J1364" s="11"/>
      <c r="K1364" s="11"/>
      <c r="L1364" s="11"/>
      <c r="M1364" s="10"/>
      <c r="N1364" s="2"/>
      <c r="O1364" s="11"/>
      <c r="P1364" s="11"/>
      <c r="Q1364" s="11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</row>
    <row r="1365">
      <c r="A1365" s="11"/>
      <c r="B1365" s="10"/>
      <c r="C1365" s="15"/>
      <c r="D1365" s="12"/>
      <c r="E1365" s="16"/>
      <c r="F1365" s="10"/>
      <c r="G1365" s="10"/>
      <c r="H1365" s="10"/>
      <c r="I1365" s="11"/>
      <c r="J1365" s="11"/>
      <c r="K1365" s="11"/>
      <c r="L1365" s="11"/>
      <c r="M1365" s="10"/>
      <c r="N1365" s="2"/>
      <c r="O1365" s="11"/>
      <c r="P1365" s="11"/>
      <c r="Q1365" s="11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</row>
    <row r="1366">
      <c r="A1366" s="11"/>
      <c r="B1366" s="10"/>
      <c r="C1366" s="15"/>
      <c r="D1366" s="12"/>
      <c r="E1366" s="16"/>
      <c r="F1366" s="10"/>
      <c r="G1366" s="10"/>
      <c r="H1366" s="10"/>
      <c r="I1366" s="11"/>
      <c r="J1366" s="11"/>
      <c r="K1366" s="11"/>
      <c r="L1366" s="11"/>
      <c r="M1366" s="10"/>
      <c r="N1366" s="2"/>
      <c r="O1366" s="11"/>
      <c r="P1366" s="11"/>
      <c r="Q1366" s="11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</row>
    <row r="1367">
      <c r="A1367" s="11"/>
      <c r="B1367" s="10"/>
      <c r="C1367" s="15"/>
      <c r="D1367" s="12"/>
      <c r="E1367" s="16"/>
      <c r="F1367" s="10"/>
      <c r="G1367" s="10"/>
      <c r="H1367" s="10"/>
      <c r="I1367" s="11"/>
      <c r="J1367" s="11"/>
      <c r="K1367" s="11"/>
      <c r="L1367" s="11"/>
      <c r="M1367" s="10"/>
      <c r="N1367" s="2"/>
      <c r="O1367" s="11"/>
      <c r="P1367" s="11"/>
      <c r="Q1367" s="11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</row>
    <row r="1368">
      <c r="A1368" s="11"/>
      <c r="B1368" s="10"/>
      <c r="C1368" s="15"/>
      <c r="D1368" s="12"/>
      <c r="E1368" s="16"/>
      <c r="F1368" s="10"/>
      <c r="G1368" s="10"/>
      <c r="H1368" s="10"/>
      <c r="I1368" s="11"/>
      <c r="J1368" s="11"/>
      <c r="K1368" s="11"/>
      <c r="L1368" s="11"/>
      <c r="M1368" s="10"/>
      <c r="N1368" s="2"/>
      <c r="O1368" s="11"/>
      <c r="P1368" s="11"/>
      <c r="Q1368" s="11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</row>
    <row r="1369">
      <c r="A1369" s="11"/>
      <c r="B1369" s="10"/>
      <c r="C1369" s="15"/>
      <c r="D1369" s="12"/>
      <c r="E1369" s="16"/>
      <c r="F1369" s="10"/>
      <c r="G1369" s="10"/>
      <c r="H1369" s="10"/>
      <c r="I1369" s="11"/>
      <c r="J1369" s="11"/>
      <c r="K1369" s="11"/>
      <c r="L1369" s="11"/>
      <c r="M1369" s="10"/>
      <c r="N1369" s="2"/>
      <c r="O1369" s="11"/>
      <c r="P1369" s="11"/>
      <c r="Q1369" s="11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</row>
    <row r="1370">
      <c r="A1370" s="11"/>
      <c r="B1370" s="10"/>
      <c r="C1370" s="15"/>
      <c r="D1370" s="12"/>
      <c r="E1370" s="16"/>
      <c r="F1370" s="10"/>
      <c r="G1370" s="10"/>
      <c r="H1370" s="10"/>
      <c r="I1370" s="11"/>
      <c r="J1370" s="11"/>
      <c r="K1370" s="11"/>
      <c r="L1370" s="11"/>
      <c r="M1370" s="10"/>
      <c r="N1370" s="2"/>
      <c r="O1370" s="11"/>
      <c r="P1370" s="11"/>
      <c r="Q1370" s="11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</row>
    <row r="1371">
      <c r="A1371" s="11"/>
      <c r="B1371" s="10"/>
      <c r="C1371" s="15"/>
      <c r="D1371" s="12"/>
      <c r="E1371" s="16"/>
      <c r="F1371" s="10"/>
      <c r="G1371" s="10"/>
      <c r="H1371" s="10"/>
      <c r="I1371" s="11"/>
      <c r="J1371" s="11"/>
      <c r="K1371" s="11"/>
      <c r="L1371" s="11"/>
      <c r="M1371" s="10"/>
      <c r="N1371" s="2"/>
      <c r="O1371" s="11"/>
      <c r="P1371" s="11"/>
      <c r="Q1371" s="11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</row>
    <row r="1372">
      <c r="A1372" s="11"/>
      <c r="B1372" s="10"/>
      <c r="C1372" s="15"/>
      <c r="D1372" s="12"/>
      <c r="E1372" s="16"/>
      <c r="F1372" s="10"/>
      <c r="G1372" s="10"/>
      <c r="H1372" s="10"/>
      <c r="I1372" s="11"/>
      <c r="J1372" s="11"/>
      <c r="K1372" s="11"/>
      <c r="L1372" s="11"/>
      <c r="M1372" s="10"/>
      <c r="N1372" s="2"/>
      <c r="O1372" s="11"/>
      <c r="P1372" s="11"/>
      <c r="Q1372" s="11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</row>
    <row r="1373">
      <c r="A1373" s="11"/>
      <c r="B1373" s="10"/>
      <c r="C1373" s="15"/>
      <c r="D1373" s="12"/>
      <c r="E1373" s="16"/>
      <c r="F1373" s="10"/>
      <c r="G1373" s="10"/>
      <c r="H1373" s="10"/>
      <c r="I1373" s="11"/>
      <c r="J1373" s="11"/>
      <c r="K1373" s="11"/>
      <c r="L1373" s="11"/>
      <c r="M1373" s="10"/>
      <c r="N1373" s="2"/>
      <c r="O1373" s="11"/>
      <c r="P1373" s="11"/>
      <c r="Q1373" s="11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</row>
    <row r="1374">
      <c r="A1374" s="11"/>
      <c r="B1374" s="10"/>
      <c r="C1374" s="15"/>
      <c r="D1374" s="12"/>
      <c r="E1374" s="16"/>
      <c r="F1374" s="10"/>
      <c r="G1374" s="10"/>
      <c r="H1374" s="10"/>
      <c r="I1374" s="11"/>
      <c r="J1374" s="11"/>
      <c r="K1374" s="11"/>
      <c r="L1374" s="11"/>
      <c r="M1374" s="10"/>
      <c r="N1374" s="2"/>
      <c r="O1374" s="11"/>
      <c r="P1374" s="11"/>
      <c r="Q1374" s="11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</row>
    <row r="1375">
      <c r="A1375" s="11"/>
      <c r="B1375" s="10"/>
      <c r="C1375" s="15"/>
      <c r="D1375" s="12"/>
      <c r="E1375" s="16"/>
      <c r="F1375" s="10"/>
      <c r="G1375" s="10"/>
      <c r="H1375" s="10"/>
      <c r="I1375" s="11"/>
      <c r="J1375" s="11"/>
      <c r="K1375" s="11"/>
      <c r="L1375" s="11"/>
      <c r="M1375" s="10"/>
      <c r="N1375" s="2"/>
      <c r="O1375" s="11"/>
      <c r="P1375" s="11"/>
      <c r="Q1375" s="11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</row>
    <row r="1376">
      <c r="A1376" s="11"/>
      <c r="B1376" s="10"/>
      <c r="C1376" s="15"/>
      <c r="D1376" s="12"/>
      <c r="E1376" s="16"/>
      <c r="F1376" s="10"/>
      <c r="G1376" s="10"/>
      <c r="H1376" s="10"/>
      <c r="I1376" s="11"/>
      <c r="J1376" s="11"/>
      <c r="K1376" s="11"/>
      <c r="L1376" s="11"/>
      <c r="M1376" s="10"/>
      <c r="N1376" s="2"/>
      <c r="O1376" s="11"/>
      <c r="P1376" s="11"/>
      <c r="Q1376" s="11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</row>
    <row r="1377">
      <c r="A1377" s="11"/>
      <c r="B1377" s="10"/>
      <c r="C1377" s="15"/>
      <c r="D1377" s="12"/>
      <c r="E1377" s="16"/>
      <c r="F1377" s="10"/>
      <c r="G1377" s="10"/>
      <c r="H1377" s="10"/>
      <c r="I1377" s="11"/>
      <c r="J1377" s="11"/>
      <c r="K1377" s="11"/>
      <c r="L1377" s="11"/>
      <c r="M1377" s="10"/>
      <c r="N1377" s="2"/>
      <c r="O1377" s="11"/>
      <c r="P1377" s="11"/>
      <c r="Q1377" s="11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</row>
    <row r="1378">
      <c r="A1378" s="11"/>
      <c r="B1378" s="10"/>
      <c r="C1378" s="15"/>
      <c r="D1378" s="12"/>
      <c r="E1378" s="16"/>
      <c r="F1378" s="10"/>
      <c r="G1378" s="10"/>
      <c r="H1378" s="10"/>
      <c r="I1378" s="11"/>
      <c r="J1378" s="11"/>
      <c r="K1378" s="11"/>
      <c r="L1378" s="11"/>
      <c r="M1378" s="10"/>
      <c r="N1378" s="2"/>
      <c r="O1378" s="11"/>
      <c r="P1378" s="11"/>
      <c r="Q1378" s="11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</row>
    <row r="1379">
      <c r="A1379" s="11"/>
      <c r="B1379" s="10"/>
      <c r="C1379" s="15"/>
      <c r="D1379" s="12"/>
      <c r="E1379" s="16"/>
      <c r="F1379" s="10"/>
      <c r="G1379" s="10"/>
      <c r="H1379" s="10"/>
      <c r="I1379" s="11"/>
      <c r="J1379" s="11"/>
      <c r="K1379" s="11"/>
      <c r="L1379" s="11"/>
      <c r="M1379" s="10"/>
      <c r="N1379" s="2"/>
      <c r="O1379" s="11"/>
      <c r="P1379" s="11"/>
      <c r="Q1379" s="11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</row>
    <row r="1380">
      <c r="A1380" s="11"/>
      <c r="B1380" s="10"/>
      <c r="C1380" s="15"/>
      <c r="D1380" s="12"/>
      <c r="E1380" s="16"/>
      <c r="F1380" s="10"/>
      <c r="G1380" s="10"/>
      <c r="H1380" s="10"/>
      <c r="I1380" s="11"/>
      <c r="J1380" s="11"/>
      <c r="K1380" s="11"/>
      <c r="L1380" s="11"/>
      <c r="M1380" s="10"/>
      <c r="N1380" s="2"/>
      <c r="O1380" s="11"/>
      <c r="P1380" s="11"/>
      <c r="Q1380" s="11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</row>
    <row r="1381">
      <c r="A1381" s="11"/>
      <c r="B1381" s="10"/>
      <c r="C1381" s="15"/>
      <c r="D1381" s="12"/>
      <c r="E1381" s="16"/>
      <c r="F1381" s="10"/>
      <c r="G1381" s="10"/>
      <c r="H1381" s="10"/>
      <c r="I1381" s="11"/>
      <c r="J1381" s="11"/>
      <c r="K1381" s="11"/>
      <c r="L1381" s="11"/>
      <c r="M1381" s="10"/>
      <c r="N1381" s="2"/>
      <c r="O1381" s="11"/>
      <c r="P1381" s="11"/>
      <c r="Q1381" s="11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</row>
    <row r="1382">
      <c r="A1382" s="11"/>
      <c r="B1382" s="10"/>
      <c r="C1382" s="15"/>
      <c r="D1382" s="12"/>
      <c r="E1382" s="16"/>
      <c r="F1382" s="10"/>
      <c r="G1382" s="10"/>
      <c r="H1382" s="10"/>
      <c r="I1382" s="11"/>
      <c r="J1382" s="11"/>
      <c r="K1382" s="11"/>
      <c r="L1382" s="11"/>
      <c r="M1382" s="10"/>
      <c r="N1382" s="2"/>
      <c r="O1382" s="11"/>
      <c r="P1382" s="11"/>
      <c r="Q1382" s="11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</row>
    <row r="1383">
      <c r="A1383" s="11"/>
      <c r="B1383" s="10"/>
      <c r="C1383" s="15"/>
      <c r="D1383" s="12"/>
      <c r="E1383" s="16"/>
      <c r="F1383" s="10"/>
      <c r="G1383" s="10"/>
      <c r="H1383" s="10"/>
      <c r="I1383" s="11"/>
      <c r="J1383" s="11"/>
      <c r="K1383" s="11"/>
      <c r="L1383" s="11"/>
      <c r="M1383" s="10"/>
      <c r="N1383" s="2"/>
      <c r="O1383" s="11"/>
      <c r="P1383" s="11"/>
      <c r="Q1383" s="11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</row>
    <row r="1384">
      <c r="A1384" s="11"/>
      <c r="B1384" s="10"/>
      <c r="C1384" s="15"/>
      <c r="D1384" s="12"/>
      <c r="E1384" s="16"/>
      <c r="F1384" s="10"/>
      <c r="G1384" s="10"/>
      <c r="H1384" s="10"/>
      <c r="I1384" s="11"/>
      <c r="J1384" s="11"/>
      <c r="K1384" s="11"/>
      <c r="L1384" s="11"/>
      <c r="M1384" s="10"/>
      <c r="N1384" s="2"/>
      <c r="O1384" s="11"/>
      <c r="P1384" s="11"/>
      <c r="Q1384" s="11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</row>
    <row r="1385">
      <c r="A1385" s="11"/>
      <c r="B1385" s="10"/>
      <c r="C1385" s="15"/>
      <c r="D1385" s="12"/>
      <c r="E1385" s="16"/>
      <c r="F1385" s="10"/>
      <c r="G1385" s="10"/>
      <c r="H1385" s="10"/>
      <c r="I1385" s="11"/>
      <c r="J1385" s="11"/>
      <c r="K1385" s="11"/>
      <c r="L1385" s="11"/>
      <c r="M1385" s="10"/>
      <c r="N1385" s="2"/>
      <c r="O1385" s="11"/>
      <c r="P1385" s="11"/>
      <c r="Q1385" s="11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</row>
    <row r="1386">
      <c r="A1386" s="11"/>
      <c r="B1386" s="10"/>
      <c r="C1386" s="15"/>
      <c r="D1386" s="12"/>
      <c r="E1386" s="16"/>
      <c r="F1386" s="10"/>
      <c r="G1386" s="10"/>
      <c r="H1386" s="10"/>
      <c r="I1386" s="11"/>
      <c r="J1386" s="11"/>
      <c r="K1386" s="11"/>
      <c r="L1386" s="11"/>
      <c r="M1386" s="10"/>
      <c r="N1386" s="2"/>
      <c r="O1386" s="11"/>
      <c r="P1386" s="11"/>
      <c r="Q1386" s="11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</row>
    <row r="1387">
      <c r="A1387" s="11"/>
      <c r="B1387" s="10"/>
      <c r="C1387" s="15"/>
      <c r="D1387" s="12"/>
      <c r="E1387" s="16"/>
      <c r="F1387" s="10"/>
      <c r="G1387" s="10"/>
      <c r="H1387" s="10"/>
      <c r="I1387" s="11"/>
      <c r="J1387" s="11"/>
      <c r="K1387" s="11"/>
      <c r="L1387" s="11"/>
      <c r="M1387" s="10"/>
      <c r="N1387" s="2"/>
      <c r="O1387" s="11"/>
      <c r="P1387" s="11"/>
      <c r="Q1387" s="11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</row>
    <row r="1388">
      <c r="A1388" s="11"/>
      <c r="B1388" s="10"/>
      <c r="C1388" s="15"/>
      <c r="D1388" s="12"/>
      <c r="E1388" s="16"/>
      <c r="F1388" s="10"/>
      <c r="G1388" s="10"/>
      <c r="H1388" s="10"/>
      <c r="I1388" s="11"/>
      <c r="J1388" s="11"/>
      <c r="K1388" s="11"/>
      <c r="L1388" s="11"/>
      <c r="M1388" s="10"/>
      <c r="N1388" s="2"/>
      <c r="O1388" s="11"/>
      <c r="P1388" s="11"/>
      <c r="Q1388" s="11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</row>
    <row r="1389">
      <c r="A1389" s="11"/>
      <c r="B1389" s="10"/>
      <c r="C1389" s="15"/>
      <c r="D1389" s="12"/>
      <c r="E1389" s="16"/>
      <c r="F1389" s="10"/>
      <c r="G1389" s="10"/>
      <c r="H1389" s="10"/>
      <c r="I1389" s="11"/>
      <c r="J1389" s="11"/>
      <c r="K1389" s="11"/>
      <c r="L1389" s="11"/>
      <c r="M1389" s="10"/>
      <c r="N1389" s="2"/>
      <c r="O1389" s="11"/>
      <c r="P1389" s="11"/>
      <c r="Q1389" s="11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</row>
    <row r="1390">
      <c r="A1390" s="11"/>
      <c r="B1390" s="10"/>
      <c r="C1390" s="15"/>
      <c r="D1390" s="12"/>
      <c r="E1390" s="16"/>
      <c r="F1390" s="10"/>
      <c r="G1390" s="10"/>
      <c r="H1390" s="10"/>
      <c r="I1390" s="11"/>
      <c r="J1390" s="11"/>
      <c r="K1390" s="11"/>
      <c r="L1390" s="11"/>
      <c r="M1390" s="10"/>
      <c r="N1390" s="2"/>
      <c r="O1390" s="11"/>
      <c r="P1390" s="11"/>
      <c r="Q1390" s="11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</row>
    <row r="1391">
      <c r="A1391" s="11"/>
      <c r="B1391" s="10"/>
      <c r="C1391" s="15"/>
      <c r="D1391" s="12"/>
      <c r="E1391" s="16"/>
      <c r="F1391" s="10"/>
      <c r="G1391" s="10"/>
      <c r="H1391" s="10"/>
      <c r="I1391" s="11"/>
      <c r="J1391" s="11"/>
      <c r="K1391" s="11"/>
      <c r="L1391" s="11"/>
      <c r="M1391" s="10"/>
      <c r="N1391" s="2"/>
      <c r="O1391" s="11"/>
      <c r="P1391" s="11"/>
      <c r="Q1391" s="11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</row>
    <row r="1392">
      <c r="A1392" s="11"/>
      <c r="B1392" s="10"/>
      <c r="C1392" s="15"/>
      <c r="D1392" s="12"/>
      <c r="E1392" s="16"/>
      <c r="F1392" s="10"/>
      <c r="G1392" s="10"/>
      <c r="H1392" s="10"/>
      <c r="I1392" s="11"/>
      <c r="J1392" s="11"/>
      <c r="K1392" s="11"/>
      <c r="L1392" s="11"/>
      <c r="M1392" s="10"/>
      <c r="N1392" s="2"/>
      <c r="O1392" s="11"/>
      <c r="P1392" s="11"/>
      <c r="Q1392" s="11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</row>
    <row r="1393">
      <c r="A1393" s="11"/>
      <c r="B1393" s="10"/>
      <c r="C1393" s="15"/>
      <c r="D1393" s="12"/>
      <c r="E1393" s="16"/>
      <c r="F1393" s="10"/>
      <c r="G1393" s="10"/>
      <c r="H1393" s="10"/>
      <c r="I1393" s="11"/>
      <c r="J1393" s="11"/>
      <c r="K1393" s="11"/>
      <c r="L1393" s="11"/>
      <c r="M1393" s="10"/>
      <c r="N1393" s="2"/>
      <c r="O1393" s="11"/>
      <c r="P1393" s="11"/>
      <c r="Q1393" s="11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</row>
    <row r="1394">
      <c r="A1394" s="11"/>
      <c r="B1394" s="10"/>
      <c r="C1394" s="15"/>
      <c r="D1394" s="12"/>
      <c r="E1394" s="16"/>
      <c r="F1394" s="10"/>
      <c r="G1394" s="10"/>
      <c r="H1394" s="10"/>
      <c r="I1394" s="11"/>
      <c r="J1394" s="11"/>
      <c r="K1394" s="11"/>
      <c r="L1394" s="11"/>
      <c r="M1394" s="10"/>
      <c r="N1394" s="2"/>
      <c r="O1394" s="11"/>
      <c r="P1394" s="11"/>
      <c r="Q1394" s="11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</row>
    <row r="1395">
      <c r="A1395" s="11"/>
      <c r="B1395" s="10"/>
      <c r="C1395" s="15"/>
      <c r="D1395" s="12"/>
      <c r="E1395" s="16"/>
      <c r="F1395" s="10"/>
      <c r="G1395" s="10"/>
      <c r="H1395" s="10"/>
      <c r="I1395" s="11"/>
      <c r="J1395" s="11"/>
      <c r="K1395" s="11"/>
      <c r="L1395" s="11"/>
      <c r="M1395" s="10"/>
      <c r="N1395" s="2"/>
      <c r="O1395" s="11"/>
      <c r="P1395" s="11"/>
      <c r="Q1395" s="11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</row>
    <row r="1396">
      <c r="A1396" s="11"/>
      <c r="B1396" s="10"/>
      <c r="C1396" s="15"/>
      <c r="D1396" s="12"/>
      <c r="E1396" s="16"/>
      <c r="F1396" s="10"/>
      <c r="G1396" s="10"/>
      <c r="H1396" s="10"/>
      <c r="I1396" s="11"/>
      <c r="J1396" s="11"/>
      <c r="K1396" s="11"/>
      <c r="L1396" s="11"/>
      <c r="M1396" s="10"/>
      <c r="N1396" s="2"/>
      <c r="O1396" s="11"/>
      <c r="P1396" s="11"/>
      <c r="Q1396" s="11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</row>
    <row r="1397">
      <c r="A1397" s="11"/>
      <c r="B1397" s="10"/>
      <c r="C1397" s="15"/>
      <c r="D1397" s="12"/>
      <c r="E1397" s="16"/>
      <c r="F1397" s="10"/>
      <c r="G1397" s="10"/>
      <c r="H1397" s="10"/>
      <c r="I1397" s="11"/>
      <c r="J1397" s="11"/>
      <c r="K1397" s="11"/>
      <c r="L1397" s="11"/>
      <c r="M1397" s="10"/>
      <c r="N1397" s="2"/>
      <c r="O1397" s="11"/>
      <c r="P1397" s="11"/>
      <c r="Q1397" s="11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</row>
    <row r="1398">
      <c r="A1398" s="11"/>
      <c r="B1398" s="10"/>
      <c r="C1398" s="15"/>
      <c r="D1398" s="12"/>
      <c r="E1398" s="16"/>
      <c r="F1398" s="10"/>
      <c r="G1398" s="10"/>
      <c r="H1398" s="10"/>
      <c r="I1398" s="11"/>
      <c r="J1398" s="11"/>
      <c r="K1398" s="11"/>
      <c r="L1398" s="11"/>
      <c r="M1398" s="10"/>
      <c r="N1398" s="2"/>
      <c r="O1398" s="11"/>
      <c r="P1398" s="11"/>
      <c r="Q1398" s="11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</row>
    <row r="1399">
      <c r="A1399" s="11"/>
      <c r="B1399" s="10"/>
      <c r="C1399" s="15"/>
      <c r="D1399" s="12"/>
      <c r="E1399" s="16"/>
      <c r="F1399" s="10"/>
      <c r="G1399" s="10"/>
      <c r="H1399" s="10"/>
      <c r="I1399" s="11"/>
      <c r="J1399" s="11"/>
      <c r="K1399" s="11"/>
      <c r="L1399" s="11"/>
      <c r="M1399" s="10"/>
      <c r="N1399" s="2"/>
      <c r="O1399" s="11"/>
      <c r="P1399" s="11"/>
      <c r="Q1399" s="11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</row>
    <row r="1400">
      <c r="A1400" s="11"/>
      <c r="B1400" s="10"/>
      <c r="C1400" s="15"/>
      <c r="D1400" s="12"/>
      <c r="E1400" s="16"/>
      <c r="F1400" s="10"/>
      <c r="G1400" s="10"/>
      <c r="H1400" s="10"/>
      <c r="I1400" s="11"/>
      <c r="J1400" s="11"/>
      <c r="K1400" s="11"/>
      <c r="L1400" s="11"/>
      <c r="M1400" s="10"/>
      <c r="N1400" s="2"/>
      <c r="O1400" s="11"/>
      <c r="P1400" s="11"/>
      <c r="Q1400" s="11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</row>
    <row r="1401">
      <c r="A1401" s="11"/>
      <c r="B1401" s="10"/>
      <c r="C1401" s="15"/>
      <c r="D1401" s="12"/>
      <c r="E1401" s="16"/>
      <c r="F1401" s="10"/>
      <c r="G1401" s="10"/>
      <c r="H1401" s="10"/>
      <c r="I1401" s="11"/>
      <c r="J1401" s="11"/>
      <c r="K1401" s="11"/>
      <c r="L1401" s="11"/>
      <c r="M1401" s="10"/>
      <c r="N1401" s="2"/>
      <c r="O1401" s="11"/>
      <c r="P1401" s="11"/>
      <c r="Q1401" s="11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</row>
    <row r="1402">
      <c r="A1402" s="11"/>
      <c r="B1402" s="10"/>
      <c r="C1402" s="15"/>
      <c r="D1402" s="12"/>
      <c r="E1402" s="16"/>
      <c r="F1402" s="10"/>
      <c r="G1402" s="10"/>
      <c r="H1402" s="10"/>
      <c r="I1402" s="11"/>
      <c r="J1402" s="11"/>
      <c r="K1402" s="11"/>
      <c r="L1402" s="11"/>
      <c r="M1402" s="10"/>
      <c r="N1402" s="2"/>
      <c r="O1402" s="11"/>
      <c r="P1402" s="11"/>
      <c r="Q1402" s="11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</row>
    <row r="1403">
      <c r="A1403" s="11"/>
      <c r="B1403" s="10"/>
      <c r="C1403" s="15"/>
      <c r="D1403" s="12"/>
      <c r="E1403" s="16"/>
      <c r="F1403" s="10"/>
      <c r="G1403" s="10"/>
      <c r="H1403" s="10"/>
      <c r="I1403" s="11"/>
      <c r="J1403" s="11"/>
      <c r="K1403" s="11"/>
      <c r="L1403" s="11"/>
      <c r="M1403" s="10"/>
      <c r="N1403" s="2"/>
      <c r="O1403" s="11"/>
      <c r="P1403" s="11"/>
      <c r="Q1403" s="11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</row>
    <row r="1404">
      <c r="A1404" s="11"/>
      <c r="B1404" s="10"/>
      <c r="C1404" s="15"/>
      <c r="D1404" s="12"/>
      <c r="E1404" s="16"/>
      <c r="F1404" s="10"/>
      <c r="G1404" s="10"/>
      <c r="H1404" s="10"/>
      <c r="I1404" s="11"/>
      <c r="J1404" s="11"/>
      <c r="K1404" s="11"/>
      <c r="L1404" s="11"/>
      <c r="M1404" s="10"/>
      <c r="N1404" s="2"/>
      <c r="O1404" s="11"/>
      <c r="P1404" s="11"/>
      <c r="Q1404" s="11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</row>
    <row r="1405">
      <c r="A1405" s="11"/>
      <c r="B1405" s="10"/>
      <c r="C1405" s="15"/>
      <c r="D1405" s="12"/>
      <c r="E1405" s="16"/>
      <c r="F1405" s="10"/>
      <c r="G1405" s="10"/>
      <c r="H1405" s="10"/>
      <c r="I1405" s="11"/>
      <c r="J1405" s="11"/>
      <c r="K1405" s="11"/>
      <c r="L1405" s="11"/>
      <c r="M1405" s="10"/>
      <c r="N1405" s="2"/>
      <c r="O1405" s="11"/>
      <c r="P1405" s="11"/>
      <c r="Q1405" s="11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</row>
    <row r="1406">
      <c r="A1406" s="11"/>
      <c r="B1406" s="10"/>
      <c r="C1406" s="15"/>
      <c r="D1406" s="12"/>
      <c r="E1406" s="16"/>
      <c r="F1406" s="10"/>
      <c r="G1406" s="10"/>
      <c r="H1406" s="10"/>
      <c r="I1406" s="11"/>
      <c r="J1406" s="11"/>
      <c r="K1406" s="11"/>
      <c r="L1406" s="11"/>
      <c r="M1406" s="10"/>
      <c r="N1406" s="2"/>
      <c r="O1406" s="11"/>
      <c r="P1406" s="11"/>
      <c r="Q1406" s="11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</row>
    <row r="1407">
      <c r="A1407" s="11"/>
      <c r="B1407" s="10"/>
      <c r="C1407" s="15"/>
      <c r="D1407" s="12"/>
      <c r="E1407" s="16"/>
      <c r="F1407" s="10"/>
      <c r="G1407" s="10"/>
      <c r="H1407" s="10"/>
      <c r="I1407" s="11"/>
      <c r="J1407" s="11"/>
      <c r="K1407" s="11"/>
      <c r="L1407" s="11"/>
      <c r="M1407" s="10"/>
      <c r="N1407" s="2"/>
      <c r="O1407" s="11"/>
      <c r="P1407" s="11"/>
      <c r="Q1407" s="11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</row>
    <row r="1408">
      <c r="A1408" s="11"/>
      <c r="B1408" s="10"/>
      <c r="C1408" s="15"/>
      <c r="D1408" s="12"/>
      <c r="E1408" s="16"/>
      <c r="F1408" s="10"/>
      <c r="G1408" s="10"/>
      <c r="H1408" s="10"/>
      <c r="I1408" s="11"/>
      <c r="J1408" s="11"/>
      <c r="K1408" s="11"/>
      <c r="L1408" s="11"/>
      <c r="M1408" s="10"/>
      <c r="N1408" s="2"/>
      <c r="O1408" s="11"/>
      <c r="P1408" s="11"/>
      <c r="Q1408" s="11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</row>
    <row r="1409">
      <c r="A1409" s="11"/>
      <c r="B1409" s="10"/>
      <c r="C1409" s="15"/>
      <c r="D1409" s="12"/>
      <c r="E1409" s="16"/>
      <c r="F1409" s="10"/>
      <c r="G1409" s="10"/>
      <c r="H1409" s="10"/>
      <c r="I1409" s="11"/>
      <c r="J1409" s="11"/>
      <c r="K1409" s="11"/>
      <c r="L1409" s="11"/>
      <c r="M1409" s="10"/>
      <c r="N1409" s="2"/>
      <c r="O1409" s="11"/>
      <c r="P1409" s="11"/>
      <c r="Q1409" s="11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</row>
    <row r="1410">
      <c r="A1410" s="11"/>
      <c r="B1410" s="10"/>
      <c r="C1410" s="15"/>
      <c r="D1410" s="12"/>
      <c r="E1410" s="16"/>
      <c r="F1410" s="10"/>
      <c r="G1410" s="10"/>
      <c r="H1410" s="10"/>
      <c r="I1410" s="11"/>
      <c r="J1410" s="11"/>
      <c r="K1410" s="11"/>
      <c r="L1410" s="11"/>
      <c r="M1410" s="10"/>
      <c r="N1410" s="2"/>
      <c r="O1410" s="11"/>
      <c r="P1410" s="11"/>
      <c r="Q1410" s="11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</row>
    <row r="1411">
      <c r="A1411" s="11"/>
      <c r="B1411" s="10"/>
      <c r="C1411" s="15"/>
      <c r="D1411" s="12"/>
      <c r="E1411" s="16"/>
      <c r="F1411" s="10"/>
      <c r="G1411" s="10"/>
      <c r="H1411" s="10"/>
      <c r="I1411" s="11"/>
      <c r="J1411" s="11"/>
      <c r="K1411" s="11"/>
      <c r="L1411" s="11"/>
      <c r="M1411" s="10"/>
      <c r="N1411" s="2"/>
      <c r="O1411" s="11"/>
      <c r="P1411" s="11"/>
      <c r="Q1411" s="11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</row>
    <row r="1412">
      <c r="A1412" s="11"/>
      <c r="B1412" s="10"/>
      <c r="C1412" s="15"/>
      <c r="D1412" s="12"/>
      <c r="E1412" s="16"/>
      <c r="F1412" s="10"/>
      <c r="G1412" s="10"/>
      <c r="H1412" s="10"/>
      <c r="I1412" s="11"/>
      <c r="J1412" s="11"/>
      <c r="K1412" s="11"/>
      <c r="L1412" s="11"/>
      <c r="M1412" s="10"/>
      <c r="N1412" s="2"/>
      <c r="O1412" s="11"/>
      <c r="P1412" s="11"/>
      <c r="Q1412" s="11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</row>
    <row r="1413">
      <c r="A1413" s="11"/>
      <c r="B1413" s="10"/>
      <c r="C1413" s="15"/>
      <c r="D1413" s="12"/>
      <c r="E1413" s="16"/>
      <c r="F1413" s="10"/>
      <c r="G1413" s="10"/>
      <c r="H1413" s="10"/>
      <c r="I1413" s="11"/>
      <c r="J1413" s="11"/>
      <c r="K1413" s="11"/>
      <c r="L1413" s="11"/>
      <c r="M1413" s="10"/>
      <c r="N1413" s="2"/>
      <c r="O1413" s="11"/>
      <c r="P1413" s="11"/>
      <c r="Q1413" s="11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</row>
    <row r="1414">
      <c r="A1414" s="11"/>
      <c r="B1414" s="10"/>
      <c r="C1414" s="15"/>
      <c r="D1414" s="12"/>
      <c r="E1414" s="16"/>
      <c r="F1414" s="10"/>
      <c r="G1414" s="10"/>
      <c r="H1414" s="10"/>
      <c r="I1414" s="11"/>
      <c r="J1414" s="11"/>
      <c r="K1414" s="11"/>
      <c r="L1414" s="11"/>
      <c r="M1414" s="10"/>
      <c r="N1414" s="2"/>
      <c r="O1414" s="11"/>
      <c r="P1414" s="11"/>
      <c r="Q1414" s="11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</row>
    <row r="1415">
      <c r="A1415" s="11"/>
      <c r="B1415" s="10"/>
      <c r="C1415" s="15"/>
      <c r="D1415" s="12"/>
      <c r="E1415" s="16"/>
      <c r="F1415" s="10"/>
      <c r="G1415" s="10"/>
      <c r="H1415" s="10"/>
      <c r="I1415" s="11"/>
      <c r="J1415" s="11"/>
      <c r="K1415" s="11"/>
      <c r="L1415" s="11"/>
      <c r="M1415" s="10"/>
      <c r="N1415" s="2"/>
      <c r="O1415" s="11"/>
      <c r="P1415" s="11"/>
      <c r="Q1415" s="11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</row>
    <row r="1416">
      <c r="A1416" s="11"/>
      <c r="B1416" s="10"/>
      <c r="C1416" s="15"/>
      <c r="D1416" s="12"/>
      <c r="E1416" s="16"/>
      <c r="F1416" s="10"/>
      <c r="G1416" s="10"/>
      <c r="H1416" s="10"/>
      <c r="I1416" s="11"/>
      <c r="J1416" s="11"/>
      <c r="K1416" s="11"/>
      <c r="L1416" s="11"/>
      <c r="M1416" s="10"/>
      <c r="N1416" s="2"/>
      <c r="O1416" s="11"/>
      <c r="P1416" s="11"/>
      <c r="Q1416" s="11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</row>
    <row r="1417">
      <c r="A1417" s="11"/>
      <c r="B1417" s="10"/>
      <c r="C1417" s="15"/>
      <c r="D1417" s="12"/>
      <c r="E1417" s="16"/>
      <c r="F1417" s="10"/>
      <c r="G1417" s="10"/>
      <c r="H1417" s="10"/>
      <c r="I1417" s="11"/>
      <c r="J1417" s="11"/>
      <c r="K1417" s="11"/>
      <c r="L1417" s="11"/>
      <c r="M1417" s="10"/>
      <c r="N1417" s="2"/>
      <c r="O1417" s="11"/>
      <c r="P1417" s="11"/>
      <c r="Q1417" s="11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</row>
    <row r="1418">
      <c r="A1418" s="11"/>
      <c r="B1418" s="10"/>
      <c r="C1418" s="15"/>
      <c r="D1418" s="12"/>
      <c r="E1418" s="16"/>
      <c r="F1418" s="10"/>
      <c r="G1418" s="10"/>
      <c r="H1418" s="10"/>
      <c r="I1418" s="11"/>
      <c r="J1418" s="11"/>
      <c r="K1418" s="11"/>
      <c r="L1418" s="11"/>
      <c r="M1418" s="10"/>
      <c r="N1418" s="2"/>
      <c r="O1418" s="11"/>
      <c r="P1418" s="11"/>
      <c r="Q1418" s="11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</row>
    <row r="1419">
      <c r="A1419" s="11"/>
      <c r="B1419" s="10"/>
      <c r="C1419" s="15"/>
      <c r="D1419" s="12"/>
      <c r="E1419" s="16"/>
      <c r="F1419" s="10"/>
      <c r="G1419" s="10"/>
      <c r="H1419" s="10"/>
      <c r="I1419" s="11"/>
      <c r="J1419" s="11"/>
      <c r="K1419" s="11"/>
      <c r="L1419" s="11"/>
      <c r="M1419" s="10"/>
      <c r="N1419" s="2"/>
      <c r="O1419" s="11"/>
      <c r="P1419" s="11"/>
      <c r="Q1419" s="11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</row>
    <row r="1420">
      <c r="A1420" s="11"/>
      <c r="B1420" s="10"/>
      <c r="C1420" s="15"/>
      <c r="D1420" s="12"/>
      <c r="E1420" s="16"/>
      <c r="F1420" s="10"/>
      <c r="G1420" s="10"/>
      <c r="H1420" s="10"/>
      <c r="I1420" s="11"/>
      <c r="J1420" s="11"/>
      <c r="K1420" s="11"/>
      <c r="L1420" s="11"/>
      <c r="M1420" s="10"/>
      <c r="N1420" s="2"/>
      <c r="O1420" s="11"/>
      <c r="P1420" s="11"/>
      <c r="Q1420" s="11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</row>
    <row r="1421">
      <c r="A1421" s="11"/>
      <c r="B1421" s="10"/>
      <c r="C1421" s="15"/>
      <c r="D1421" s="12"/>
      <c r="E1421" s="16"/>
      <c r="F1421" s="10"/>
      <c r="G1421" s="10"/>
      <c r="H1421" s="10"/>
      <c r="I1421" s="11"/>
      <c r="J1421" s="11"/>
      <c r="K1421" s="11"/>
      <c r="L1421" s="11"/>
      <c r="M1421" s="10"/>
      <c r="N1421" s="2"/>
      <c r="O1421" s="11"/>
      <c r="P1421" s="11"/>
      <c r="Q1421" s="11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</row>
    <row r="1422">
      <c r="A1422" s="11"/>
      <c r="B1422" s="10"/>
      <c r="C1422" s="15"/>
      <c r="D1422" s="12"/>
      <c r="E1422" s="16"/>
      <c r="F1422" s="10"/>
      <c r="G1422" s="10"/>
      <c r="H1422" s="10"/>
      <c r="I1422" s="11"/>
      <c r="J1422" s="11"/>
      <c r="K1422" s="11"/>
      <c r="L1422" s="11"/>
      <c r="M1422" s="10"/>
      <c r="N1422" s="2"/>
      <c r="O1422" s="11"/>
      <c r="P1422" s="11"/>
      <c r="Q1422" s="11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</row>
    <row r="1423">
      <c r="A1423" s="11"/>
      <c r="B1423" s="10"/>
      <c r="C1423" s="15"/>
      <c r="D1423" s="12"/>
      <c r="E1423" s="16"/>
      <c r="F1423" s="10"/>
      <c r="G1423" s="10"/>
      <c r="H1423" s="10"/>
      <c r="I1423" s="11"/>
      <c r="J1423" s="11"/>
      <c r="K1423" s="11"/>
      <c r="L1423" s="11"/>
      <c r="M1423" s="10"/>
      <c r="N1423" s="2"/>
      <c r="O1423" s="11"/>
      <c r="P1423" s="11"/>
      <c r="Q1423" s="11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</row>
    <row r="1424">
      <c r="A1424" s="11"/>
      <c r="B1424" s="10"/>
      <c r="C1424" s="15"/>
      <c r="D1424" s="12"/>
      <c r="E1424" s="16"/>
      <c r="F1424" s="10"/>
      <c r="G1424" s="10"/>
      <c r="H1424" s="10"/>
      <c r="I1424" s="11"/>
      <c r="J1424" s="11"/>
      <c r="K1424" s="11"/>
      <c r="L1424" s="11"/>
      <c r="M1424" s="10"/>
      <c r="N1424" s="2"/>
      <c r="O1424" s="11"/>
      <c r="P1424" s="11"/>
      <c r="Q1424" s="11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</row>
    <row r="1425">
      <c r="A1425" s="11"/>
      <c r="B1425" s="10"/>
      <c r="C1425" s="15"/>
      <c r="D1425" s="12"/>
      <c r="E1425" s="16"/>
      <c r="F1425" s="10"/>
      <c r="G1425" s="10"/>
      <c r="H1425" s="10"/>
      <c r="I1425" s="11"/>
      <c r="J1425" s="11"/>
      <c r="K1425" s="11"/>
      <c r="L1425" s="11"/>
      <c r="M1425" s="10"/>
      <c r="N1425" s="2"/>
      <c r="O1425" s="11"/>
      <c r="P1425" s="11"/>
      <c r="Q1425" s="11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</row>
    <row r="1426">
      <c r="A1426" s="11"/>
      <c r="B1426" s="10"/>
      <c r="C1426" s="15"/>
      <c r="D1426" s="12"/>
      <c r="E1426" s="16"/>
      <c r="F1426" s="10"/>
      <c r="G1426" s="10"/>
      <c r="H1426" s="10"/>
      <c r="I1426" s="11"/>
      <c r="J1426" s="11"/>
      <c r="K1426" s="11"/>
      <c r="L1426" s="11"/>
      <c r="M1426" s="10"/>
      <c r="N1426" s="2"/>
      <c r="O1426" s="11"/>
      <c r="P1426" s="11"/>
      <c r="Q1426" s="11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</row>
    <row r="1427">
      <c r="A1427" s="11"/>
      <c r="B1427" s="10"/>
      <c r="C1427" s="15"/>
      <c r="D1427" s="12"/>
      <c r="E1427" s="16"/>
      <c r="F1427" s="10"/>
      <c r="G1427" s="10"/>
      <c r="H1427" s="10"/>
      <c r="I1427" s="11"/>
      <c r="J1427" s="11"/>
      <c r="K1427" s="11"/>
      <c r="L1427" s="11"/>
      <c r="M1427" s="10"/>
      <c r="N1427" s="2"/>
      <c r="O1427" s="11"/>
      <c r="P1427" s="11"/>
      <c r="Q1427" s="11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</row>
    <row r="1428">
      <c r="A1428" s="11"/>
      <c r="B1428" s="10"/>
      <c r="C1428" s="15"/>
      <c r="D1428" s="12"/>
      <c r="E1428" s="16"/>
      <c r="F1428" s="10"/>
      <c r="G1428" s="10"/>
      <c r="H1428" s="10"/>
      <c r="I1428" s="11"/>
      <c r="J1428" s="11"/>
      <c r="K1428" s="11"/>
      <c r="L1428" s="11"/>
      <c r="M1428" s="10"/>
      <c r="N1428" s="2"/>
      <c r="O1428" s="11"/>
      <c r="P1428" s="11"/>
      <c r="Q1428" s="11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</row>
    <row r="1429">
      <c r="A1429" s="11"/>
      <c r="B1429" s="10"/>
      <c r="C1429" s="15"/>
      <c r="D1429" s="12"/>
      <c r="E1429" s="16"/>
      <c r="F1429" s="10"/>
      <c r="G1429" s="10"/>
      <c r="H1429" s="10"/>
      <c r="I1429" s="11"/>
      <c r="J1429" s="11"/>
      <c r="K1429" s="11"/>
      <c r="L1429" s="11"/>
      <c r="M1429" s="10"/>
      <c r="N1429" s="2"/>
      <c r="O1429" s="11"/>
      <c r="P1429" s="11"/>
      <c r="Q1429" s="11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</row>
    <row r="1430">
      <c r="A1430" s="11"/>
      <c r="B1430" s="10"/>
      <c r="C1430" s="15"/>
      <c r="D1430" s="12"/>
      <c r="E1430" s="16"/>
      <c r="F1430" s="10"/>
      <c r="G1430" s="10"/>
      <c r="H1430" s="10"/>
      <c r="I1430" s="11"/>
      <c r="J1430" s="11"/>
      <c r="K1430" s="11"/>
      <c r="L1430" s="11"/>
      <c r="M1430" s="10"/>
      <c r="N1430" s="2"/>
      <c r="O1430" s="11"/>
      <c r="P1430" s="11"/>
      <c r="Q1430" s="11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</row>
    <row r="1431">
      <c r="A1431" s="11"/>
      <c r="B1431" s="10"/>
      <c r="C1431" s="15"/>
      <c r="D1431" s="12"/>
      <c r="E1431" s="16"/>
      <c r="F1431" s="10"/>
      <c r="G1431" s="10"/>
      <c r="H1431" s="10"/>
      <c r="I1431" s="11"/>
      <c r="J1431" s="11"/>
      <c r="K1431" s="11"/>
      <c r="L1431" s="11"/>
      <c r="M1431" s="10"/>
      <c r="N1431" s="2"/>
      <c r="O1431" s="11"/>
      <c r="P1431" s="11"/>
      <c r="Q1431" s="11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</row>
    <row r="1432">
      <c r="A1432" s="11"/>
      <c r="B1432" s="10"/>
      <c r="C1432" s="15"/>
      <c r="D1432" s="12"/>
      <c r="E1432" s="16"/>
      <c r="F1432" s="10"/>
      <c r="G1432" s="10"/>
      <c r="H1432" s="10"/>
      <c r="I1432" s="11"/>
      <c r="J1432" s="11"/>
      <c r="K1432" s="11"/>
      <c r="L1432" s="11"/>
      <c r="M1432" s="10"/>
      <c r="N1432" s="2"/>
      <c r="O1432" s="11"/>
      <c r="P1432" s="11"/>
      <c r="Q1432" s="11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</row>
    <row r="1433">
      <c r="A1433" s="11"/>
      <c r="B1433" s="10"/>
      <c r="C1433" s="15"/>
      <c r="D1433" s="12"/>
      <c r="E1433" s="16"/>
      <c r="F1433" s="10"/>
      <c r="G1433" s="10"/>
      <c r="H1433" s="10"/>
      <c r="I1433" s="11"/>
      <c r="J1433" s="11"/>
      <c r="K1433" s="11"/>
      <c r="L1433" s="11"/>
      <c r="M1433" s="10"/>
      <c r="N1433" s="2"/>
      <c r="O1433" s="11"/>
      <c r="P1433" s="11"/>
      <c r="Q1433" s="11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</row>
    <row r="1434">
      <c r="A1434" s="11"/>
      <c r="B1434" s="10"/>
      <c r="C1434" s="15"/>
      <c r="D1434" s="12"/>
      <c r="E1434" s="16"/>
      <c r="F1434" s="10"/>
      <c r="G1434" s="10"/>
      <c r="H1434" s="10"/>
      <c r="I1434" s="11"/>
      <c r="J1434" s="11"/>
      <c r="K1434" s="11"/>
      <c r="L1434" s="11"/>
      <c r="M1434" s="10"/>
      <c r="N1434" s="2"/>
      <c r="O1434" s="11"/>
      <c r="P1434" s="11"/>
      <c r="Q1434" s="11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</row>
    <row r="1435">
      <c r="A1435" s="11"/>
      <c r="B1435" s="10"/>
      <c r="C1435" s="15"/>
      <c r="D1435" s="12"/>
      <c r="E1435" s="16"/>
      <c r="F1435" s="10"/>
      <c r="G1435" s="10"/>
      <c r="H1435" s="10"/>
      <c r="I1435" s="11"/>
      <c r="J1435" s="11"/>
      <c r="K1435" s="11"/>
      <c r="L1435" s="11"/>
      <c r="M1435" s="10"/>
      <c r="N1435" s="2"/>
      <c r="O1435" s="11"/>
      <c r="P1435" s="11"/>
      <c r="Q1435" s="11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</row>
    <row r="1436">
      <c r="A1436" s="11"/>
      <c r="B1436" s="10"/>
      <c r="C1436" s="15"/>
      <c r="D1436" s="12"/>
      <c r="E1436" s="16"/>
      <c r="F1436" s="10"/>
      <c r="G1436" s="10"/>
      <c r="H1436" s="10"/>
      <c r="I1436" s="11"/>
      <c r="J1436" s="11"/>
      <c r="K1436" s="11"/>
      <c r="L1436" s="11"/>
      <c r="M1436" s="10"/>
      <c r="N1436" s="2"/>
      <c r="O1436" s="11"/>
      <c r="P1436" s="11"/>
      <c r="Q1436" s="11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</row>
    <row r="1437">
      <c r="A1437" s="11"/>
      <c r="B1437" s="10"/>
      <c r="C1437" s="15"/>
      <c r="D1437" s="12"/>
      <c r="E1437" s="16"/>
      <c r="F1437" s="10"/>
      <c r="G1437" s="10"/>
      <c r="H1437" s="10"/>
      <c r="I1437" s="11"/>
      <c r="J1437" s="11"/>
      <c r="K1437" s="11"/>
      <c r="L1437" s="11"/>
      <c r="M1437" s="10"/>
      <c r="N1437" s="2"/>
      <c r="O1437" s="11"/>
      <c r="P1437" s="11"/>
      <c r="Q1437" s="11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</row>
    <row r="1438">
      <c r="A1438" s="11"/>
      <c r="B1438" s="10"/>
      <c r="C1438" s="15"/>
      <c r="D1438" s="12"/>
      <c r="E1438" s="16"/>
      <c r="F1438" s="10"/>
      <c r="G1438" s="10"/>
      <c r="H1438" s="10"/>
      <c r="I1438" s="11"/>
      <c r="J1438" s="11"/>
      <c r="K1438" s="11"/>
      <c r="L1438" s="11"/>
      <c r="M1438" s="10"/>
      <c r="N1438" s="2"/>
      <c r="O1438" s="11"/>
      <c r="P1438" s="11"/>
      <c r="Q1438" s="11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</row>
    <row r="1439">
      <c r="A1439" s="11"/>
      <c r="B1439" s="10"/>
      <c r="C1439" s="15"/>
      <c r="D1439" s="12"/>
      <c r="E1439" s="16"/>
      <c r="F1439" s="10"/>
      <c r="G1439" s="10"/>
      <c r="H1439" s="10"/>
      <c r="I1439" s="11"/>
      <c r="J1439" s="11"/>
      <c r="K1439" s="11"/>
      <c r="L1439" s="11"/>
      <c r="M1439" s="10"/>
      <c r="N1439" s="2"/>
      <c r="O1439" s="11"/>
      <c r="P1439" s="11"/>
      <c r="Q1439" s="11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</row>
    <row r="1440">
      <c r="A1440" s="11"/>
      <c r="B1440" s="10"/>
      <c r="C1440" s="15"/>
      <c r="D1440" s="12"/>
      <c r="E1440" s="16"/>
      <c r="F1440" s="10"/>
      <c r="G1440" s="10"/>
      <c r="H1440" s="10"/>
      <c r="I1440" s="11"/>
      <c r="J1440" s="11"/>
      <c r="K1440" s="11"/>
      <c r="L1440" s="11"/>
      <c r="M1440" s="10"/>
      <c r="N1440" s="2"/>
      <c r="O1440" s="11"/>
      <c r="P1440" s="11"/>
      <c r="Q1440" s="11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</row>
    <row r="1441">
      <c r="A1441" s="11"/>
      <c r="B1441" s="10"/>
      <c r="C1441" s="15"/>
      <c r="D1441" s="12"/>
      <c r="E1441" s="16"/>
      <c r="F1441" s="10"/>
      <c r="G1441" s="10"/>
      <c r="H1441" s="10"/>
      <c r="I1441" s="11"/>
      <c r="J1441" s="11"/>
      <c r="K1441" s="11"/>
      <c r="L1441" s="11"/>
      <c r="M1441" s="10"/>
      <c r="N1441" s="2"/>
      <c r="O1441" s="11"/>
      <c r="P1441" s="11"/>
      <c r="Q1441" s="11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</row>
    <row r="1442">
      <c r="A1442" s="11"/>
      <c r="B1442" s="10"/>
      <c r="C1442" s="15"/>
      <c r="D1442" s="12"/>
      <c r="E1442" s="16"/>
      <c r="F1442" s="10"/>
      <c r="G1442" s="10"/>
      <c r="H1442" s="10"/>
      <c r="I1442" s="11"/>
      <c r="J1442" s="11"/>
      <c r="K1442" s="11"/>
      <c r="L1442" s="11"/>
      <c r="M1442" s="10"/>
      <c r="N1442" s="2"/>
      <c r="O1442" s="11"/>
      <c r="P1442" s="11"/>
      <c r="Q1442" s="11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</row>
    <row r="1443">
      <c r="A1443" s="11"/>
      <c r="B1443" s="10"/>
      <c r="C1443" s="15"/>
      <c r="D1443" s="12"/>
      <c r="E1443" s="16"/>
      <c r="F1443" s="10"/>
      <c r="G1443" s="10"/>
      <c r="H1443" s="10"/>
      <c r="I1443" s="11"/>
      <c r="J1443" s="11"/>
      <c r="K1443" s="11"/>
      <c r="L1443" s="11"/>
      <c r="M1443" s="10"/>
      <c r="N1443" s="2"/>
      <c r="O1443" s="11"/>
      <c r="P1443" s="11"/>
      <c r="Q1443" s="11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</row>
    <row r="1444">
      <c r="A1444" s="11"/>
      <c r="B1444" s="10"/>
      <c r="C1444" s="15"/>
      <c r="D1444" s="12"/>
      <c r="E1444" s="16"/>
      <c r="F1444" s="10"/>
      <c r="G1444" s="10"/>
      <c r="H1444" s="10"/>
      <c r="I1444" s="11"/>
      <c r="J1444" s="11"/>
      <c r="K1444" s="11"/>
      <c r="L1444" s="11"/>
      <c r="M1444" s="10"/>
      <c r="N1444" s="2"/>
      <c r="O1444" s="11"/>
      <c r="P1444" s="11"/>
      <c r="Q1444" s="11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</row>
    <row r="1445">
      <c r="A1445" s="11"/>
      <c r="B1445" s="10"/>
      <c r="C1445" s="15"/>
      <c r="D1445" s="12"/>
      <c r="E1445" s="16"/>
      <c r="F1445" s="10"/>
      <c r="G1445" s="10"/>
      <c r="H1445" s="10"/>
      <c r="I1445" s="11"/>
      <c r="J1445" s="11"/>
      <c r="K1445" s="11"/>
      <c r="L1445" s="11"/>
      <c r="M1445" s="10"/>
      <c r="N1445" s="2"/>
      <c r="O1445" s="11"/>
      <c r="P1445" s="11"/>
      <c r="Q1445" s="11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</row>
    <row r="1446">
      <c r="A1446" s="11"/>
      <c r="B1446" s="10"/>
      <c r="C1446" s="15"/>
      <c r="D1446" s="12"/>
      <c r="E1446" s="16"/>
      <c r="F1446" s="10"/>
      <c r="G1446" s="10"/>
      <c r="H1446" s="10"/>
      <c r="I1446" s="11"/>
      <c r="J1446" s="11"/>
      <c r="K1446" s="11"/>
      <c r="L1446" s="11"/>
      <c r="M1446" s="10"/>
      <c r="N1446" s="2"/>
      <c r="O1446" s="11"/>
      <c r="P1446" s="11"/>
      <c r="Q1446" s="11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</row>
    <row r="1447">
      <c r="A1447" s="11"/>
      <c r="B1447" s="10"/>
      <c r="C1447" s="15"/>
      <c r="D1447" s="12"/>
      <c r="E1447" s="16"/>
      <c r="F1447" s="10"/>
      <c r="G1447" s="10"/>
      <c r="H1447" s="10"/>
      <c r="I1447" s="11"/>
      <c r="J1447" s="11"/>
      <c r="K1447" s="11"/>
      <c r="L1447" s="11"/>
      <c r="M1447" s="10"/>
      <c r="N1447" s="2"/>
      <c r="O1447" s="11"/>
      <c r="P1447" s="11"/>
      <c r="Q1447" s="11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</row>
    <row r="1448">
      <c r="A1448" s="11"/>
      <c r="B1448" s="10"/>
      <c r="C1448" s="15"/>
      <c r="D1448" s="12"/>
      <c r="E1448" s="16"/>
      <c r="F1448" s="10"/>
      <c r="G1448" s="10"/>
      <c r="H1448" s="10"/>
      <c r="I1448" s="11"/>
      <c r="J1448" s="11"/>
      <c r="K1448" s="11"/>
      <c r="L1448" s="11"/>
      <c r="M1448" s="10"/>
      <c r="N1448" s="2"/>
      <c r="O1448" s="11"/>
      <c r="P1448" s="11"/>
      <c r="Q1448" s="11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</row>
    <row r="1449">
      <c r="A1449" s="11"/>
      <c r="B1449" s="10"/>
      <c r="C1449" s="15"/>
      <c r="D1449" s="12"/>
      <c r="E1449" s="16"/>
      <c r="F1449" s="10"/>
      <c r="G1449" s="10"/>
      <c r="H1449" s="10"/>
      <c r="I1449" s="11"/>
      <c r="J1449" s="11"/>
      <c r="K1449" s="11"/>
      <c r="L1449" s="11"/>
      <c r="M1449" s="10"/>
      <c r="N1449" s="2"/>
      <c r="O1449" s="11"/>
      <c r="P1449" s="11"/>
      <c r="Q1449" s="11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</row>
    <row r="1450">
      <c r="A1450" s="11"/>
      <c r="B1450" s="10"/>
      <c r="C1450" s="15"/>
      <c r="D1450" s="12"/>
      <c r="E1450" s="16"/>
      <c r="F1450" s="10"/>
      <c r="G1450" s="10"/>
      <c r="H1450" s="10"/>
      <c r="I1450" s="11"/>
      <c r="J1450" s="11"/>
      <c r="K1450" s="11"/>
      <c r="L1450" s="11"/>
      <c r="M1450" s="10"/>
      <c r="N1450" s="2"/>
      <c r="O1450" s="11"/>
      <c r="P1450" s="11"/>
      <c r="Q1450" s="11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</row>
    <row r="1451">
      <c r="A1451" s="11"/>
      <c r="B1451" s="10"/>
      <c r="C1451" s="15"/>
      <c r="D1451" s="12"/>
      <c r="E1451" s="16"/>
      <c r="F1451" s="10"/>
      <c r="G1451" s="10"/>
      <c r="H1451" s="10"/>
      <c r="I1451" s="11"/>
      <c r="J1451" s="11"/>
      <c r="K1451" s="11"/>
      <c r="L1451" s="11"/>
      <c r="M1451" s="10"/>
      <c r="N1451" s="2"/>
      <c r="O1451" s="11"/>
      <c r="P1451" s="11"/>
      <c r="Q1451" s="11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</row>
    <row r="1452">
      <c r="A1452" s="11"/>
      <c r="B1452" s="10"/>
      <c r="C1452" s="15"/>
      <c r="D1452" s="12"/>
      <c r="E1452" s="16"/>
      <c r="F1452" s="10"/>
      <c r="G1452" s="10"/>
      <c r="H1452" s="10"/>
      <c r="I1452" s="11"/>
      <c r="J1452" s="11"/>
      <c r="K1452" s="11"/>
      <c r="L1452" s="11"/>
      <c r="M1452" s="10"/>
      <c r="N1452" s="2"/>
      <c r="O1452" s="11"/>
      <c r="P1452" s="11"/>
      <c r="Q1452" s="11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</row>
    <row r="1453">
      <c r="A1453" s="11"/>
      <c r="B1453" s="10"/>
      <c r="C1453" s="15"/>
      <c r="D1453" s="12"/>
      <c r="E1453" s="16"/>
      <c r="F1453" s="10"/>
      <c r="G1453" s="10"/>
      <c r="H1453" s="10"/>
      <c r="I1453" s="11"/>
      <c r="J1453" s="11"/>
      <c r="K1453" s="11"/>
      <c r="L1453" s="11"/>
      <c r="M1453" s="10"/>
      <c r="N1453" s="2"/>
      <c r="O1453" s="11"/>
      <c r="P1453" s="11"/>
      <c r="Q1453" s="11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</row>
    <row r="1454">
      <c r="A1454" s="11"/>
      <c r="B1454" s="10"/>
      <c r="C1454" s="15"/>
      <c r="D1454" s="12"/>
      <c r="E1454" s="16"/>
      <c r="F1454" s="10"/>
      <c r="G1454" s="10"/>
      <c r="H1454" s="10"/>
      <c r="I1454" s="11"/>
      <c r="J1454" s="11"/>
      <c r="K1454" s="11"/>
      <c r="L1454" s="11"/>
      <c r="M1454" s="10"/>
      <c r="N1454" s="2"/>
      <c r="O1454" s="11"/>
      <c r="P1454" s="11"/>
      <c r="Q1454" s="11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</row>
    <row r="1455">
      <c r="A1455" s="11"/>
      <c r="B1455" s="10"/>
      <c r="C1455" s="15"/>
      <c r="D1455" s="12"/>
      <c r="E1455" s="16"/>
      <c r="F1455" s="10"/>
      <c r="G1455" s="10"/>
      <c r="H1455" s="10"/>
      <c r="I1455" s="11"/>
      <c r="J1455" s="11"/>
      <c r="K1455" s="11"/>
      <c r="L1455" s="11"/>
      <c r="M1455" s="10"/>
      <c r="N1455" s="2"/>
      <c r="O1455" s="11"/>
      <c r="P1455" s="11"/>
      <c r="Q1455" s="11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</row>
    <row r="1456">
      <c r="A1456" s="11"/>
      <c r="B1456" s="10"/>
      <c r="C1456" s="15"/>
      <c r="D1456" s="12"/>
      <c r="E1456" s="16"/>
      <c r="F1456" s="10"/>
      <c r="G1456" s="10"/>
      <c r="H1456" s="10"/>
      <c r="I1456" s="11"/>
      <c r="J1456" s="11"/>
      <c r="K1456" s="11"/>
      <c r="L1456" s="11"/>
      <c r="M1456" s="10"/>
      <c r="N1456" s="2"/>
      <c r="O1456" s="11"/>
      <c r="P1456" s="11"/>
      <c r="Q1456" s="11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</row>
    <row r="1457">
      <c r="A1457" s="11"/>
      <c r="B1457" s="10"/>
      <c r="C1457" s="15"/>
      <c r="D1457" s="12"/>
      <c r="E1457" s="16"/>
      <c r="F1457" s="10"/>
      <c r="G1457" s="10"/>
      <c r="H1457" s="10"/>
      <c r="I1457" s="11"/>
      <c r="J1457" s="11"/>
      <c r="K1457" s="11"/>
      <c r="L1457" s="11"/>
      <c r="M1457" s="10"/>
      <c r="N1457" s="2"/>
      <c r="O1457" s="11"/>
      <c r="P1457" s="11"/>
      <c r="Q1457" s="11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</row>
    <row r="1458">
      <c r="A1458" s="11"/>
      <c r="B1458" s="10"/>
      <c r="C1458" s="15"/>
      <c r="D1458" s="12"/>
      <c r="E1458" s="16"/>
      <c r="F1458" s="10"/>
      <c r="G1458" s="10"/>
      <c r="H1458" s="10"/>
      <c r="I1458" s="11"/>
      <c r="J1458" s="11"/>
      <c r="K1458" s="11"/>
      <c r="L1458" s="11"/>
      <c r="M1458" s="10"/>
      <c r="N1458" s="2"/>
      <c r="O1458" s="11"/>
      <c r="P1458" s="11"/>
      <c r="Q1458" s="11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</row>
    <row r="1459">
      <c r="A1459" s="11"/>
      <c r="B1459" s="10"/>
      <c r="C1459" s="15"/>
      <c r="D1459" s="12"/>
      <c r="E1459" s="16"/>
      <c r="F1459" s="10"/>
      <c r="G1459" s="10"/>
      <c r="H1459" s="10"/>
      <c r="I1459" s="11"/>
      <c r="J1459" s="11"/>
      <c r="K1459" s="11"/>
      <c r="L1459" s="11"/>
      <c r="M1459" s="10"/>
      <c r="N1459" s="2"/>
      <c r="O1459" s="11"/>
      <c r="P1459" s="11"/>
      <c r="Q1459" s="11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</row>
    <row r="1460">
      <c r="A1460" s="11"/>
      <c r="B1460" s="10"/>
      <c r="C1460" s="15"/>
      <c r="D1460" s="12"/>
      <c r="E1460" s="16"/>
      <c r="F1460" s="10"/>
      <c r="G1460" s="10"/>
      <c r="H1460" s="10"/>
      <c r="I1460" s="11"/>
      <c r="J1460" s="11"/>
      <c r="K1460" s="11"/>
      <c r="L1460" s="11"/>
      <c r="M1460" s="10"/>
      <c r="N1460" s="2"/>
      <c r="O1460" s="11"/>
      <c r="P1460" s="11"/>
      <c r="Q1460" s="11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</row>
    <row r="1461">
      <c r="A1461" s="11"/>
      <c r="B1461" s="10"/>
      <c r="C1461" s="15"/>
      <c r="D1461" s="12"/>
      <c r="E1461" s="16"/>
      <c r="F1461" s="10"/>
      <c r="G1461" s="10"/>
      <c r="H1461" s="10"/>
      <c r="I1461" s="11"/>
      <c r="J1461" s="11"/>
      <c r="K1461" s="11"/>
      <c r="L1461" s="11"/>
      <c r="M1461" s="10"/>
      <c r="N1461" s="2"/>
      <c r="O1461" s="11"/>
      <c r="P1461" s="11"/>
      <c r="Q1461" s="11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</row>
    <row r="1462">
      <c r="A1462" s="11"/>
      <c r="B1462" s="10"/>
      <c r="C1462" s="15"/>
      <c r="D1462" s="12"/>
      <c r="E1462" s="16"/>
      <c r="F1462" s="10"/>
      <c r="G1462" s="10"/>
      <c r="H1462" s="10"/>
      <c r="I1462" s="11"/>
      <c r="J1462" s="11"/>
      <c r="K1462" s="11"/>
      <c r="L1462" s="11"/>
      <c r="M1462" s="10"/>
      <c r="N1462" s="2"/>
      <c r="O1462" s="11"/>
      <c r="P1462" s="11"/>
      <c r="Q1462" s="11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</row>
    <row r="1463">
      <c r="A1463" s="11"/>
      <c r="B1463" s="10"/>
      <c r="C1463" s="15"/>
      <c r="D1463" s="12"/>
      <c r="E1463" s="16"/>
      <c r="F1463" s="10"/>
      <c r="G1463" s="10"/>
      <c r="H1463" s="10"/>
      <c r="I1463" s="11"/>
      <c r="J1463" s="11"/>
      <c r="K1463" s="11"/>
      <c r="L1463" s="11"/>
      <c r="M1463" s="10"/>
      <c r="N1463" s="2"/>
      <c r="O1463" s="11"/>
      <c r="P1463" s="11"/>
      <c r="Q1463" s="11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</row>
    <row r="1464">
      <c r="A1464" s="11"/>
      <c r="B1464" s="10"/>
      <c r="C1464" s="15"/>
      <c r="D1464" s="12"/>
      <c r="E1464" s="16"/>
      <c r="F1464" s="10"/>
      <c r="G1464" s="10"/>
      <c r="H1464" s="10"/>
      <c r="I1464" s="11"/>
      <c r="J1464" s="11"/>
      <c r="K1464" s="11"/>
      <c r="L1464" s="11"/>
      <c r="M1464" s="10"/>
      <c r="N1464" s="2"/>
      <c r="O1464" s="11"/>
      <c r="P1464" s="11"/>
      <c r="Q1464" s="11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</row>
    <row r="1465">
      <c r="A1465" s="11"/>
      <c r="B1465" s="10"/>
      <c r="C1465" s="15"/>
      <c r="D1465" s="12"/>
      <c r="E1465" s="16"/>
      <c r="F1465" s="10"/>
      <c r="G1465" s="10"/>
      <c r="H1465" s="10"/>
      <c r="I1465" s="11"/>
      <c r="J1465" s="11"/>
      <c r="K1465" s="11"/>
      <c r="L1465" s="11"/>
      <c r="M1465" s="10"/>
      <c r="N1465" s="2"/>
      <c r="O1465" s="11"/>
      <c r="P1465" s="11"/>
      <c r="Q1465" s="11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</row>
    <row r="1466">
      <c r="A1466" s="11"/>
      <c r="B1466" s="10"/>
      <c r="C1466" s="15"/>
      <c r="D1466" s="12"/>
      <c r="E1466" s="16"/>
      <c r="F1466" s="10"/>
      <c r="G1466" s="10"/>
      <c r="H1466" s="10"/>
      <c r="I1466" s="11"/>
      <c r="J1466" s="11"/>
      <c r="K1466" s="11"/>
      <c r="L1466" s="11"/>
      <c r="M1466" s="10"/>
      <c r="N1466" s="2"/>
      <c r="O1466" s="11"/>
      <c r="P1466" s="11"/>
      <c r="Q1466" s="11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</row>
    <row r="1467">
      <c r="A1467" s="11"/>
      <c r="B1467" s="10"/>
      <c r="C1467" s="15"/>
      <c r="D1467" s="12"/>
      <c r="E1467" s="16"/>
      <c r="F1467" s="10"/>
      <c r="G1467" s="10"/>
      <c r="H1467" s="10"/>
      <c r="I1467" s="11"/>
      <c r="J1467" s="11"/>
      <c r="K1467" s="11"/>
      <c r="L1467" s="11"/>
      <c r="M1467" s="10"/>
      <c r="N1467" s="2"/>
      <c r="O1467" s="11"/>
      <c r="P1467" s="11"/>
      <c r="Q1467" s="11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</row>
    <row r="1468">
      <c r="A1468" s="11"/>
      <c r="B1468" s="10"/>
      <c r="C1468" s="15"/>
      <c r="D1468" s="12"/>
      <c r="E1468" s="16"/>
      <c r="F1468" s="10"/>
      <c r="G1468" s="10"/>
      <c r="H1468" s="10"/>
      <c r="I1468" s="11"/>
      <c r="J1468" s="11"/>
      <c r="K1468" s="11"/>
      <c r="L1468" s="11"/>
      <c r="M1468" s="10"/>
      <c r="N1468" s="2"/>
      <c r="O1468" s="11"/>
      <c r="P1468" s="11"/>
      <c r="Q1468" s="11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</row>
    <row r="1469">
      <c r="A1469" s="11"/>
      <c r="B1469" s="10"/>
      <c r="C1469" s="15"/>
      <c r="D1469" s="12"/>
      <c r="E1469" s="16"/>
      <c r="F1469" s="10"/>
      <c r="G1469" s="10"/>
      <c r="H1469" s="10"/>
      <c r="I1469" s="11"/>
      <c r="J1469" s="11"/>
      <c r="K1469" s="11"/>
      <c r="L1469" s="11"/>
      <c r="M1469" s="10"/>
      <c r="N1469" s="2"/>
      <c r="O1469" s="11"/>
      <c r="P1469" s="11"/>
      <c r="Q1469" s="11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</row>
    <row r="1470">
      <c r="A1470" s="11"/>
      <c r="B1470" s="10"/>
      <c r="C1470" s="15"/>
      <c r="D1470" s="12"/>
      <c r="E1470" s="16"/>
      <c r="F1470" s="10"/>
      <c r="G1470" s="10"/>
      <c r="H1470" s="10"/>
      <c r="I1470" s="11"/>
      <c r="J1470" s="11"/>
      <c r="K1470" s="11"/>
      <c r="L1470" s="11"/>
      <c r="M1470" s="10"/>
      <c r="N1470" s="2"/>
      <c r="O1470" s="11"/>
      <c r="P1470" s="11"/>
      <c r="Q1470" s="11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</row>
    <row r="1471">
      <c r="A1471" s="11"/>
      <c r="B1471" s="10"/>
      <c r="C1471" s="15"/>
      <c r="D1471" s="12"/>
      <c r="E1471" s="16"/>
      <c r="F1471" s="10"/>
      <c r="G1471" s="10"/>
      <c r="H1471" s="10"/>
      <c r="I1471" s="11"/>
      <c r="J1471" s="11"/>
      <c r="K1471" s="11"/>
      <c r="L1471" s="11"/>
      <c r="M1471" s="10"/>
      <c r="N1471" s="2"/>
      <c r="O1471" s="11"/>
      <c r="P1471" s="11"/>
      <c r="Q1471" s="11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</row>
    <row r="1472">
      <c r="A1472" s="11"/>
      <c r="B1472" s="10"/>
      <c r="C1472" s="15"/>
      <c r="D1472" s="12"/>
      <c r="E1472" s="16"/>
      <c r="F1472" s="10"/>
      <c r="G1472" s="10"/>
      <c r="H1472" s="10"/>
      <c r="I1472" s="11"/>
      <c r="J1472" s="11"/>
      <c r="K1472" s="11"/>
      <c r="L1472" s="11"/>
      <c r="M1472" s="10"/>
      <c r="N1472" s="2"/>
      <c r="O1472" s="11"/>
      <c r="P1472" s="11"/>
      <c r="Q1472" s="11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</row>
    <row r="1473">
      <c r="A1473" s="11"/>
      <c r="B1473" s="10"/>
      <c r="C1473" s="15"/>
      <c r="D1473" s="12"/>
      <c r="E1473" s="16"/>
      <c r="F1473" s="10"/>
      <c r="G1473" s="10"/>
      <c r="H1473" s="10"/>
      <c r="I1473" s="11"/>
      <c r="J1473" s="11"/>
      <c r="K1473" s="11"/>
      <c r="L1473" s="11"/>
      <c r="M1473" s="10"/>
      <c r="N1473" s="2"/>
      <c r="O1473" s="11"/>
      <c r="P1473" s="11"/>
      <c r="Q1473" s="11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</row>
    <row r="1474">
      <c r="A1474" s="11"/>
      <c r="B1474" s="10"/>
      <c r="C1474" s="15"/>
      <c r="D1474" s="12"/>
      <c r="E1474" s="16"/>
      <c r="F1474" s="10"/>
      <c r="G1474" s="10"/>
      <c r="H1474" s="10"/>
      <c r="I1474" s="11"/>
      <c r="J1474" s="11"/>
      <c r="K1474" s="11"/>
      <c r="L1474" s="11"/>
      <c r="M1474" s="10"/>
      <c r="N1474" s="2"/>
      <c r="O1474" s="11"/>
      <c r="P1474" s="11"/>
      <c r="Q1474" s="11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</row>
    <row r="1475">
      <c r="A1475" s="11"/>
      <c r="B1475" s="10"/>
      <c r="C1475" s="15"/>
      <c r="D1475" s="12"/>
      <c r="E1475" s="16"/>
      <c r="F1475" s="10"/>
      <c r="G1475" s="10"/>
      <c r="H1475" s="10"/>
      <c r="I1475" s="11"/>
      <c r="J1475" s="11"/>
      <c r="K1475" s="11"/>
      <c r="L1475" s="11"/>
      <c r="M1475" s="10"/>
      <c r="N1475" s="2"/>
      <c r="O1475" s="11"/>
      <c r="P1475" s="11"/>
      <c r="Q1475" s="11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</row>
    <row r="1476">
      <c r="A1476" s="11"/>
      <c r="B1476" s="10"/>
      <c r="C1476" s="15"/>
      <c r="D1476" s="12"/>
      <c r="E1476" s="16"/>
      <c r="F1476" s="10"/>
      <c r="G1476" s="10"/>
      <c r="H1476" s="10"/>
      <c r="I1476" s="11"/>
      <c r="J1476" s="11"/>
      <c r="K1476" s="11"/>
      <c r="L1476" s="11"/>
      <c r="M1476" s="10"/>
      <c r="N1476" s="2"/>
      <c r="O1476" s="11"/>
      <c r="P1476" s="11"/>
      <c r="Q1476" s="11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</row>
    <row r="1477">
      <c r="A1477" s="11"/>
      <c r="B1477" s="10"/>
      <c r="C1477" s="15"/>
      <c r="D1477" s="12"/>
      <c r="E1477" s="16"/>
      <c r="F1477" s="10"/>
      <c r="G1477" s="10"/>
      <c r="H1477" s="10"/>
      <c r="I1477" s="11"/>
      <c r="J1477" s="11"/>
      <c r="K1477" s="11"/>
      <c r="L1477" s="11"/>
      <c r="M1477" s="10"/>
      <c r="N1477" s="2"/>
      <c r="O1477" s="11"/>
      <c r="P1477" s="11"/>
      <c r="Q1477" s="11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</row>
    <row r="1478">
      <c r="A1478" s="11"/>
      <c r="B1478" s="10"/>
      <c r="C1478" s="15"/>
      <c r="D1478" s="12"/>
      <c r="E1478" s="16"/>
      <c r="F1478" s="10"/>
      <c r="G1478" s="10"/>
      <c r="H1478" s="10"/>
      <c r="I1478" s="11"/>
      <c r="J1478" s="11"/>
      <c r="K1478" s="11"/>
      <c r="L1478" s="11"/>
      <c r="M1478" s="10"/>
      <c r="N1478" s="2"/>
      <c r="O1478" s="11"/>
      <c r="P1478" s="11"/>
      <c r="Q1478" s="11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</row>
    <row r="1479">
      <c r="A1479" s="11"/>
      <c r="B1479" s="10"/>
      <c r="C1479" s="15"/>
      <c r="D1479" s="12"/>
      <c r="E1479" s="16"/>
      <c r="F1479" s="10"/>
      <c r="G1479" s="10"/>
      <c r="H1479" s="10"/>
      <c r="I1479" s="11"/>
      <c r="J1479" s="11"/>
      <c r="K1479" s="11"/>
      <c r="L1479" s="11"/>
      <c r="M1479" s="10"/>
      <c r="N1479" s="2"/>
      <c r="O1479" s="11"/>
      <c r="P1479" s="11"/>
      <c r="Q1479" s="11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</row>
    <row r="1480">
      <c r="A1480" s="11"/>
      <c r="B1480" s="10"/>
      <c r="C1480" s="15"/>
      <c r="D1480" s="12"/>
      <c r="E1480" s="16"/>
      <c r="F1480" s="10"/>
      <c r="G1480" s="10"/>
      <c r="H1480" s="10"/>
      <c r="I1480" s="11"/>
      <c r="J1480" s="11"/>
      <c r="K1480" s="11"/>
      <c r="L1480" s="11"/>
      <c r="M1480" s="10"/>
      <c r="N1480" s="2"/>
      <c r="O1480" s="11"/>
      <c r="P1480" s="11"/>
      <c r="Q1480" s="11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</row>
    <row r="1481">
      <c r="A1481" s="11"/>
      <c r="B1481" s="10"/>
      <c r="C1481" s="15"/>
      <c r="D1481" s="12"/>
      <c r="E1481" s="16"/>
      <c r="F1481" s="10"/>
      <c r="G1481" s="10"/>
      <c r="H1481" s="10"/>
      <c r="I1481" s="11"/>
      <c r="J1481" s="11"/>
      <c r="K1481" s="11"/>
      <c r="L1481" s="11"/>
      <c r="M1481" s="10"/>
      <c r="N1481" s="2"/>
      <c r="O1481" s="11"/>
      <c r="P1481" s="11"/>
      <c r="Q1481" s="11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</row>
    <row r="1482">
      <c r="A1482" s="11"/>
      <c r="B1482" s="10"/>
      <c r="C1482" s="15"/>
      <c r="D1482" s="12"/>
      <c r="E1482" s="16"/>
      <c r="F1482" s="10"/>
      <c r="G1482" s="10"/>
      <c r="H1482" s="10"/>
      <c r="I1482" s="11"/>
      <c r="J1482" s="11"/>
      <c r="K1482" s="11"/>
      <c r="L1482" s="11"/>
      <c r="M1482" s="10"/>
      <c r="N1482" s="2"/>
      <c r="O1482" s="11"/>
      <c r="P1482" s="11"/>
      <c r="Q1482" s="11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</row>
    <row r="1483">
      <c r="A1483" s="11"/>
      <c r="B1483" s="10"/>
      <c r="C1483" s="15"/>
      <c r="D1483" s="12"/>
      <c r="E1483" s="16"/>
      <c r="F1483" s="10"/>
      <c r="G1483" s="10"/>
      <c r="H1483" s="10"/>
      <c r="I1483" s="11"/>
      <c r="J1483" s="11"/>
      <c r="K1483" s="11"/>
      <c r="L1483" s="11"/>
      <c r="M1483" s="10"/>
      <c r="N1483" s="2"/>
      <c r="O1483" s="11"/>
      <c r="P1483" s="11"/>
      <c r="Q1483" s="11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</row>
    <row r="1484">
      <c r="A1484" s="11"/>
      <c r="B1484" s="10"/>
      <c r="C1484" s="15"/>
      <c r="D1484" s="12"/>
      <c r="E1484" s="16"/>
      <c r="F1484" s="10"/>
      <c r="G1484" s="10"/>
      <c r="H1484" s="10"/>
      <c r="I1484" s="11"/>
      <c r="J1484" s="11"/>
      <c r="K1484" s="11"/>
      <c r="L1484" s="11"/>
      <c r="M1484" s="10"/>
      <c r="N1484" s="2"/>
      <c r="O1484" s="11"/>
      <c r="P1484" s="11"/>
      <c r="Q1484" s="11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</row>
    <row r="1485">
      <c r="A1485" s="11"/>
      <c r="B1485" s="10"/>
      <c r="C1485" s="15"/>
      <c r="D1485" s="12"/>
      <c r="E1485" s="16"/>
      <c r="F1485" s="10"/>
      <c r="G1485" s="10"/>
      <c r="H1485" s="10"/>
      <c r="I1485" s="11"/>
      <c r="J1485" s="11"/>
      <c r="K1485" s="11"/>
      <c r="L1485" s="11"/>
      <c r="M1485" s="10"/>
      <c r="N1485" s="2"/>
      <c r="O1485" s="11"/>
      <c r="P1485" s="11"/>
      <c r="Q1485" s="11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</row>
    <row r="1486">
      <c r="A1486" s="11"/>
      <c r="B1486" s="10"/>
      <c r="C1486" s="15"/>
      <c r="D1486" s="12"/>
      <c r="E1486" s="16"/>
      <c r="F1486" s="10"/>
      <c r="G1486" s="10"/>
      <c r="H1486" s="10"/>
      <c r="I1486" s="11"/>
      <c r="J1486" s="11"/>
      <c r="K1486" s="11"/>
      <c r="L1486" s="11"/>
      <c r="M1486" s="10"/>
      <c r="N1486" s="2"/>
      <c r="O1486" s="11"/>
      <c r="P1486" s="11"/>
      <c r="Q1486" s="11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</row>
    <row r="1487">
      <c r="A1487" s="11"/>
      <c r="B1487" s="10"/>
      <c r="C1487" s="15"/>
      <c r="D1487" s="12"/>
      <c r="E1487" s="16"/>
      <c r="F1487" s="10"/>
      <c r="G1487" s="10"/>
      <c r="H1487" s="10"/>
      <c r="I1487" s="11"/>
      <c r="J1487" s="11"/>
      <c r="K1487" s="11"/>
      <c r="L1487" s="11"/>
      <c r="M1487" s="10"/>
      <c r="N1487" s="2"/>
      <c r="O1487" s="11"/>
      <c r="P1487" s="11"/>
      <c r="Q1487" s="11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</row>
    <row r="1488">
      <c r="A1488" s="11"/>
      <c r="B1488" s="10"/>
      <c r="C1488" s="15"/>
      <c r="D1488" s="12"/>
      <c r="E1488" s="16"/>
      <c r="F1488" s="10"/>
      <c r="G1488" s="10"/>
      <c r="H1488" s="10"/>
      <c r="I1488" s="11"/>
      <c r="J1488" s="11"/>
      <c r="K1488" s="11"/>
      <c r="L1488" s="11"/>
      <c r="M1488" s="10"/>
      <c r="N1488" s="2"/>
      <c r="O1488" s="11"/>
      <c r="P1488" s="11"/>
      <c r="Q1488" s="11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</row>
    <row r="1489">
      <c r="A1489" s="11"/>
      <c r="B1489" s="10"/>
      <c r="C1489" s="15"/>
      <c r="D1489" s="12"/>
      <c r="E1489" s="16"/>
      <c r="F1489" s="10"/>
      <c r="G1489" s="10"/>
      <c r="H1489" s="10"/>
      <c r="I1489" s="11"/>
      <c r="J1489" s="11"/>
      <c r="K1489" s="11"/>
      <c r="L1489" s="11"/>
      <c r="M1489" s="10"/>
      <c r="N1489" s="2"/>
      <c r="O1489" s="11"/>
      <c r="P1489" s="11"/>
      <c r="Q1489" s="11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</row>
    <row r="1490">
      <c r="A1490" s="11"/>
      <c r="B1490" s="10"/>
      <c r="C1490" s="15"/>
      <c r="D1490" s="12"/>
      <c r="E1490" s="16"/>
      <c r="F1490" s="10"/>
      <c r="G1490" s="10"/>
      <c r="H1490" s="10"/>
      <c r="I1490" s="11"/>
      <c r="J1490" s="11"/>
      <c r="K1490" s="11"/>
      <c r="L1490" s="11"/>
      <c r="M1490" s="10"/>
      <c r="N1490" s="2"/>
      <c r="O1490" s="11"/>
      <c r="P1490" s="11"/>
      <c r="Q1490" s="11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</row>
    <row r="1491">
      <c r="A1491" s="11"/>
      <c r="B1491" s="10"/>
      <c r="C1491" s="15"/>
      <c r="D1491" s="12"/>
      <c r="E1491" s="16"/>
      <c r="F1491" s="10"/>
      <c r="G1491" s="10"/>
      <c r="H1491" s="10"/>
      <c r="I1491" s="11"/>
      <c r="J1491" s="11"/>
      <c r="K1491" s="11"/>
      <c r="L1491" s="11"/>
      <c r="M1491" s="10"/>
      <c r="N1491" s="2"/>
      <c r="O1491" s="11"/>
      <c r="P1491" s="11"/>
      <c r="Q1491" s="11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</row>
    <row r="1492">
      <c r="A1492" s="11"/>
      <c r="B1492" s="10"/>
      <c r="C1492" s="15"/>
      <c r="D1492" s="12"/>
      <c r="E1492" s="16"/>
      <c r="F1492" s="10"/>
      <c r="G1492" s="10"/>
      <c r="H1492" s="10"/>
      <c r="I1492" s="11"/>
      <c r="J1492" s="11"/>
      <c r="K1492" s="11"/>
      <c r="L1492" s="11"/>
      <c r="M1492" s="10"/>
      <c r="N1492" s="2"/>
      <c r="O1492" s="11"/>
      <c r="P1492" s="11"/>
      <c r="Q1492" s="11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</row>
    <row r="1493">
      <c r="A1493" s="11"/>
      <c r="B1493" s="10"/>
      <c r="C1493" s="15"/>
      <c r="D1493" s="12"/>
      <c r="E1493" s="16"/>
      <c r="F1493" s="10"/>
      <c r="G1493" s="10"/>
      <c r="H1493" s="10"/>
      <c r="I1493" s="11"/>
      <c r="J1493" s="11"/>
      <c r="K1493" s="11"/>
      <c r="L1493" s="11"/>
      <c r="M1493" s="10"/>
      <c r="N1493" s="2"/>
      <c r="O1493" s="11"/>
      <c r="P1493" s="11"/>
      <c r="Q1493" s="11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</row>
    <row r="1494">
      <c r="A1494" s="11"/>
      <c r="B1494" s="10"/>
      <c r="C1494" s="15"/>
      <c r="D1494" s="12"/>
      <c r="E1494" s="16"/>
      <c r="F1494" s="10"/>
      <c r="G1494" s="10"/>
      <c r="H1494" s="10"/>
      <c r="I1494" s="11"/>
      <c r="J1494" s="11"/>
      <c r="K1494" s="11"/>
      <c r="L1494" s="11"/>
      <c r="M1494" s="10"/>
      <c r="N1494" s="2"/>
      <c r="O1494" s="11"/>
      <c r="P1494" s="11"/>
      <c r="Q1494" s="11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</row>
    <row r="1495">
      <c r="A1495" s="11"/>
      <c r="B1495" s="10"/>
      <c r="C1495" s="15"/>
      <c r="D1495" s="12"/>
      <c r="E1495" s="16"/>
      <c r="F1495" s="10"/>
      <c r="G1495" s="10"/>
      <c r="H1495" s="10"/>
      <c r="I1495" s="11"/>
      <c r="J1495" s="11"/>
      <c r="K1495" s="11"/>
      <c r="L1495" s="11"/>
      <c r="M1495" s="10"/>
      <c r="N1495" s="2"/>
      <c r="O1495" s="11"/>
      <c r="P1495" s="11"/>
      <c r="Q1495" s="11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</row>
    <row r="1496">
      <c r="A1496" s="11"/>
      <c r="B1496" s="10"/>
      <c r="C1496" s="15"/>
      <c r="D1496" s="12"/>
      <c r="E1496" s="16"/>
      <c r="F1496" s="10"/>
      <c r="G1496" s="10"/>
      <c r="H1496" s="10"/>
      <c r="I1496" s="11"/>
      <c r="J1496" s="11"/>
      <c r="K1496" s="11"/>
      <c r="L1496" s="11"/>
      <c r="M1496" s="10"/>
      <c r="N1496" s="2"/>
      <c r="O1496" s="11"/>
      <c r="P1496" s="11"/>
      <c r="Q1496" s="11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</row>
    <row r="1497">
      <c r="A1497" s="11"/>
      <c r="B1497" s="10"/>
      <c r="C1497" s="15"/>
      <c r="D1497" s="12"/>
      <c r="E1497" s="16"/>
      <c r="F1497" s="10"/>
      <c r="G1497" s="10"/>
      <c r="H1497" s="10"/>
      <c r="I1497" s="11"/>
      <c r="J1497" s="11"/>
      <c r="K1497" s="11"/>
      <c r="L1497" s="11"/>
      <c r="M1497" s="10"/>
      <c r="N1497" s="2"/>
      <c r="O1497" s="11"/>
      <c r="P1497" s="11"/>
      <c r="Q1497" s="11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</row>
    <row r="1498">
      <c r="A1498" s="11"/>
      <c r="B1498" s="10"/>
      <c r="C1498" s="15"/>
      <c r="D1498" s="12"/>
      <c r="E1498" s="16"/>
      <c r="F1498" s="10"/>
      <c r="G1498" s="10"/>
      <c r="H1498" s="10"/>
      <c r="I1498" s="11"/>
      <c r="J1498" s="11"/>
      <c r="K1498" s="11"/>
      <c r="L1498" s="11"/>
      <c r="M1498" s="10"/>
      <c r="N1498" s="2"/>
      <c r="O1498" s="11"/>
      <c r="P1498" s="11"/>
      <c r="Q1498" s="11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</row>
    <row r="1499">
      <c r="A1499" s="11"/>
      <c r="B1499" s="10"/>
      <c r="C1499" s="15"/>
      <c r="D1499" s="12"/>
      <c r="E1499" s="16"/>
      <c r="F1499" s="10"/>
      <c r="G1499" s="10"/>
      <c r="H1499" s="10"/>
      <c r="I1499" s="11"/>
      <c r="J1499" s="11"/>
      <c r="K1499" s="11"/>
      <c r="L1499" s="11"/>
      <c r="M1499" s="10"/>
      <c r="N1499" s="2"/>
      <c r="O1499" s="11"/>
      <c r="P1499" s="11"/>
      <c r="Q1499" s="11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</row>
    <row r="1500">
      <c r="A1500" s="11"/>
      <c r="B1500" s="10"/>
      <c r="C1500" s="15"/>
      <c r="D1500" s="12"/>
      <c r="E1500" s="16"/>
      <c r="F1500" s="10"/>
      <c r="G1500" s="10"/>
      <c r="H1500" s="10"/>
      <c r="I1500" s="11"/>
      <c r="J1500" s="11"/>
      <c r="K1500" s="11"/>
      <c r="L1500" s="11"/>
      <c r="M1500" s="10"/>
      <c r="N1500" s="2"/>
      <c r="O1500" s="11"/>
      <c r="P1500" s="11"/>
      <c r="Q1500" s="11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</row>
    <row r="1501">
      <c r="A1501" s="11"/>
      <c r="B1501" s="10"/>
      <c r="C1501" s="15"/>
      <c r="D1501" s="12"/>
      <c r="E1501" s="16"/>
      <c r="F1501" s="10"/>
      <c r="G1501" s="10"/>
      <c r="H1501" s="10"/>
      <c r="I1501" s="11"/>
      <c r="J1501" s="11"/>
      <c r="K1501" s="11"/>
      <c r="L1501" s="11"/>
      <c r="M1501" s="10"/>
      <c r="N1501" s="2"/>
      <c r="O1501" s="11"/>
      <c r="P1501" s="11"/>
      <c r="Q1501" s="11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</row>
    <row r="1502">
      <c r="A1502" s="11"/>
      <c r="B1502" s="10"/>
      <c r="C1502" s="15"/>
      <c r="D1502" s="12"/>
      <c r="E1502" s="16"/>
      <c r="F1502" s="10"/>
      <c r="G1502" s="10"/>
      <c r="H1502" s="10"/>
      <c r="I1502" s="11"/>
      <c r="J1502" s="11"/>
      <c r="K1502" s="11"/>
      <c r="L1502" s="11"/>
      <c r="M1502" s="10"/>
      <c r="N1502" s="2"/>
      <c r="O1502" s="11"/>
      <c r="P1502" s="11"/>
      <c r="Q1502" s="11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</row>
    <row r="1503">
      <c r="A1503" s="11"/>
      <c r="B1503" s="10"/>
      <c r="C1503" s="15"/>
      <c r="D1503" s="12"/>
      <c r="E1503" s="16"/>
      <c r="F1503" s="10"/>
      <c r="G1503" s="10"/>
      <c r="H1503" s="10"/>
      <c r="I1503" s="11"/>
      <c r="J1503" s="11"/>
      <c r="K1503" s="11"/>
      <c r="L1503" s="11"/>
      <c r="M1503" s="10"/>
      <c r="N1503" s="2"/>
      <c r="O1503" s="11"/>
      <c r="P1503" s="11"/>
      <c r="Q1503" s="11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</row>
    <row r="1504">
      <c r="A1504" s="11"/>
      <c r="B1504" s="10"/>
      <c r="C1504" s="15"/>
      <c r="D1504" s="12"/>
      <c r="E1504" s="16"/>
      <c r="F1504" s="10"/>
      <c r="G1504" s="10"/>
      <c r="H1504" s="10"/>
      <c r="I1504" s="11"/>
      <c r="J1504" s="11"/>
      <c r="K1504" s="11"/>
      <c r="L1504" s="11"/>
      <c r="M1504" s="10"/>
      <c r="N1504" s="2"/>
      <c r="O1504" s="11"/>
      <c r="P1504" s="11"/>
      <c r="Q1504" s="11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</row>
    <row r="1505">
      <c r="A1505" s="11"/>
      <c r="B1505" s="10"/>
      <c r="C1505" s="15"/>
      <c r="D1505" s="12"/>
      <c r="E1505" s="16"/>
      <c r="F1505" s="10"/>
      <c r="G1505" s="10"/>
      <c r="H1505" s="10"/>
      <c r="I1505" s="11"/>
      <c r="J1505" s="11"/>
      <c r="K1505" s="11"/>
      <c r="L1505" s="11"/>
      <c r="M1505" s="10"/>
      <c r="N1505" s="2"/>
      <c r="O1505" s="11"/>
      <c r="P1505" s="11"/>
      <c r="Q1505" s="11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</row>
    <row r="1506">
      <c r="A1506" s="11"/>
      <c r="B1506" s="10"/>
      <c r="C1506" s="15"/>
      <c r="D1506" s="12"/>
      <c r="E1506" s="16"/>
      <c r="F1506" s="10"/>
      <c r="G1506" s="10"/>
      <c r="H1506" s="10"/>
      <c r="I1506" s="11"/>
      <c r="J1506" s="11"/>
      <c r="K1506" s="11"/>
      <c r="L1506" s="11"/>
      <c r="M1506" s="10"/>
      <c r="N1506" s="2"/>
      <c r="O1506" s="11"/>
      <c r="P1506" s="11"/>
      <c r="Q1506" s="11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</row>
    <row r="1507">
      <c r="A1507" s="11"/>
      <c r="B1507" s="10"/>
      <c r="C1507" s="15"/>
      <c r="D1507" s="12"/>
      <c r="E1507" s="16"/>
      <c r="F1507" s="10"/>
      <c r="G1507" s="10"/>
      <c r="H1507" s="10"/>
      <c r="I1507" s="11"/>
      <c r="J1507" s="11"/>
      <c r="K1507" s="11"/>
      <c r="L1507" s="11"/>
      <c r="M1507" s="10"/>
      <c r="N1507" s="2"/>
      <c r="O1507" s="11"/>
      <c r="P1507" s="11"/>
      <c r="Q1507" s="11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</row>
    <row r="1508">
      <c r="A1508" s="11"/>
      <c r="B1508" s="10"/>
      <c r="C1508" s="15"/>
      <c r="D1508" s="12"/>
      <c r="E1508" s="16"/>
      <c r="F1508" s="10"/>
      <c r="G1508" s="10"/>
      <c r="H1508" s="10"/>
      <c r="I1508" s="11"/>
      <c r="J1508" s="11"/>
      <c r="K1508" s="11"/>
      <c r="L1508" s="11"/>
      <c r="M1508" s="10"/>
      <c r="N1508" s="2"/>
      <c r="O1508" s="11"/>
      <c r="P1508" s="11"/>
      <c r="Q1508" s="11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</row>
    <row r="1509">
      <c r="A1509" s="11"/>
      <c r="B1509" s="10"/>
      <c r="C1509" s="15"/>
      <c r="D1509" s="12"/>
      <c r="E1509" s="16"/>
      <c r="F1509" s="10"/>
      <c r="G1509" s="10"/>
      <c r="H1509" s="10"/>
      <c r="I1509" s="11"/>
      <c r="J1509" s="11"/>
      <c r="K1509" s="11"/>
      <c r="L1509" s="11"/>
      <c r="M1509" s="10"/>
      <c r="N1509" s="2"/>
      <c r="O1509" s="11"/>
      <c r="P1509" s="11"/>
      <c r="Q1509" s="11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</row>
    <row r="1510">
      <c r="A1510" s="11"/>
      <c r="B1510" s="10"/>
      <c r="C1510" s="15"/>
      <c r="D1510" s="12"/>
      <c r="E1510" s="16"/>
      <c r="F1510" s="10"/>
      <c r="G1510" s="10"/>
      <c r="H1510" s="10"/>
      <c r="I1510" s="11"/>
      <c r="J1510" s="11"/>
      <c r="K1510" s="11"/>
      <c r="L1510" s="11"/>
      <c r="M1510" s="10"/>
      <c r="N1510" s="2"/>
      <c r="O1510" s="11"/>
      <c r="P1510" s="11"/>
      <c r="Q1510" s="11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</row>
    <row r="1511">
      <c r="A1511" s="11"/>
      <c r="B1511" s="10"/>
      <c r="C1511" s="15"/>
      <c r="D1511" s="12"/>
      <c r="E1511" s="16"/>
      <c r="F1511" s="10"/>
      <c r="G1511" s="10"/>
      <c r="H1511" s="10"/>
      <c r="I1511" s="11"/>
      <c r="J1511" s="11"/>
      <c r="K1511" s="11"/>
      <c r="L1511" s="11"/>
      <c r="M1511" s="10"/>
      <c r="N1511" s="2"/>
      <c r="O1511" s="11"/>
      <c r="P1511" s="11"/>
      <c r="Q1511" s="11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</row>
    <row r="1512">
      <c r="A1512" s="11"/>
      <c r="B1512" s="10"/>
      <c r="C1512" s="15"/>
      <c r="D1512" s="12"/>
      <c r="E1512" s="16"/>
      <c r="F1512" s="10"/>
      <c r="G1512" s="10"/>
      <c r="H1512" s="10"/>
      <c r="I1512" s="11"/>
      <c r="J1512" s="11"/>
      <c r="K1512" s="11"/>
      <c r="L1512" s="11"/>
      <c r="M1512" s="10"/>
      <c r="N1512" s="2"/>
      <c r="O1512" s="11"/>
      <c r="P1512" s="11"/>
      <c r="Q1512" s="11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</row>
    <row r="1513">
      <c r="A1513" s="11"/>
      <c r="B1513" s="10"/>
      <c r="C1513" s="15"/>
      <c r="D1513" s="12"/>
      <c r="E1513" s="16"/>
      <c r="F1513" s="10"/>
      <c r="G1513" s="10"/>
      <c r="H1513" s="10"/>
      <c r="I1513" s="11"/>
      <c r="J1513" s="11"/>
      <c r="K1513" s="11"/>
      <c r="L1513" s="11"/>
      <c r="M1513" s="10"/>
      <c r="N1513" s="2"/>
      <c r="O1513" s="11"/>
      <c r="P1513" s="11"/>
      <c r="Q1513" s="11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</row>
    <row r="1514">
      <c r="A1514" s="11"/>
      <c r="B1514" s="10"/>
      <c r="C1514" s="15"/>
      <c r="D1514" s="12"/>
      <c r="E1514" s="16"/>
      <c r="F1514" s="10"/>
      <c r="G1514" s="10"/>
      <c r="H1514" s="10"/>
      <c r="I1514" s="11"/>
      <c r="J1514" s="11"/>
      <c r="K1514" s="11"/>
      <c r="L1514" s="11"/>
      <c r="M1514" s="10"/>
      <c r="N1514" s="2"/>
      <c r="O1514" s="11"/>
      <c r="P1514" s="11"/>
      <c r="Q1514" s="11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</row>
    <row r="1515">
      <c r="A1515" s="11"/>
      <c r="B1515" s="10"/>
      <c r="C1515" s="15"/>
      <c r="D1515" s="12"/>
      <c r="E1515" s="16"/>
      <c r="F1515" s="10"/>
      <c r="G1515" s="10"/>
      <c r="H1515" s="10"/>
      <c r="I1515" s="11"/>
      <c r="J1515" s="11"/>
      <c r="K1515" s="11"/>
      <c r="L1515" s="11"/>
      <c r="M1515" s="10"/>
      <c r="N1515" s="2"/>
      <c r="O1515" s="11"/>
      <c r="P1515" s="11"/>
      <c r="Q1515" s="11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</row>
    <row r="1516">
      <c r="A1516" s="11"/>
      <c r="B1516" s="10"/>
      <c r="C1516" s="15"/>
      <c r="D1516" s="12"/>
      <c r="E1516" s="16"/>
      <c r="F1516" s="10"/>
      <c r="G1516" s="10"/>
      <c r="H1516" s="10"/>
      <c r="I1516" s="11"/>
      <c r="J1516" s="11"/>
      <c r="K1516" s="11"/>
      <c r="L1516" s="11"/>
      <c r="M1516" s="10"/>
      <c r="N1516" s="2"/>
      <c r="O1516" s="11"/>
      <c r="P1516" s="11"/>
      <c r="Q1516" s="11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</row>
    <row r="1517">
      <c r="A1517" s="11"/>
      <c r="B1517" s="10"/>
      <c r="C1517" s="15"/>
      <c r="D1517" s="12"/>
      <c r="E1517" s="16"/>
      <c r="F1517" s="10"/>
      <c r="G1517" s="10"/>
      <c r="H1517" s="10"/>
      <c r="I1517" s="11"/>
      <c r="J1517" s="11"/>
      <c r="K1517" s="11"/>
      <c r="L1517" s="11"/>
      <c r="M1517" s="10"/>
      <c r="N1517" s="2"/>
      <c r="O1517" s="11"/>
      <c r="P1517" s="11"/>
      <c r="Q1517" s="11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</row>
    <row r="1518">
      <c r="A1518" s="11"/>
      <c r="B1518" s="10"/>
      <c r="C1518" s="15"/>
      <c r="D1518" s="12"/>
      <c r="E1518" s="16"/>
      <c r="F1518" s="10"/>
      <c r="G1518" s="10"/>
      <c r="H1518" s="10"/>
      <c r="I1518" s="11"/>
      <c r="J1518" s="11"/>
      <c r="K1518" s="11"/>
      <c r="L1518" s="11"/>
      <c r="M1518" s="10"/>
      <c r="N1518" s="2"/>
      <c r="O1518" s="11"/>
      <c r="P1518" s="11"/>
      <c r="Q1518" s="11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</row>
    <row r="1519">
      <c r="A1519" s="11"/>
      <c r="B1519" s="10"/>
      <c r="C1519" s="15"/>
      <c r="D1519" s="12"/>
      <c r="E1519" s="16"/>
      <c r="F1519" s="10"/>
      <c r="G1519" s="10"/>
      <c r="H1519" s="10"/>
      <c r="I1519" s="11"/>
      <c r="J1519" s="11"/>
      <c r="K1519" s="11"/>
      <c r="L1519" s="11"/>
      <c r="M1519" s="10"/>
      <c r="N1519" s="2"/>
      <c r="O1519" s="11"/>
      <c r="P1519" s="11"/>
      <c r="Q1519" s="11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</row>
    <row r="1520">
      <c r="A1520" s="11"/>
      <c r="B1520" s="10"/>
      <c r="C1520" s="15"/>
      <c r="D1520" s="12"/>
      <c r="E1520" s="16"/>
      <c r="F1520" s="10"/>
      <c r="G1520" s="10"/>
      <c r="H1520" s="10"/>
      <c r="I1520" s="11"/>
      <c r="J1520" s="11"/>
      <c r="K1520" s="11"/>
      <c r="L1520" s="11"/>
      <c r="M1520" s="10"/>
      <c r="N1520" s="2"/>
      <c r="O1520" s="11"/>
      <c r="P1520" s="11"/>
      <c r="Q1520" s="11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</row>
    <row r="1521">
      <c r="A1521" s="11"/>
      <c r="B1521" s="10"/>
      <c r="C1521" s="15"/>
      <c r="D1521" s="12"/>
      <c r="E1521" s="16"/>
      <c r="F1521" s="10"/>
      <c r="G1521" s="10"/>
      <c r="H1521" s="10"/>
      <c r="I1521" s="11"/>
      <c r="J1521" s="11"/>
      <c r="K1521" s="11"/>
      <c r="L1521" s="11"/>
      <c r="M1521" s="10"/>
      <c r="N1521" s="2"/>
      <c r="O1521" s="11"/>
      <c r="P1521" s="11"/>
      <c r="Q1521" s="11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</row>
    <row r="1522">
      <c r="A1522" s="11"/>
      <c r="B1522" s="10"/>
      <c r="C1522" s="15"/>
      <c r="D1522" s="12"/>
      <c r="E1522" s="16"/>
      <c r="F1522" s="10"/>
      <c r="G1522" s="10"/>
      <c r="H1522" s="10"/>
      <c r="I1522" s="11"/>
      <c r="J1522" s="11"/>
      <c r="K1522" s="11"/>
      <c r="L1522" s="11"/>
      <c r="M1522" s="10"/>
      <c r="N1522" s="2"/>
      <c r="O1522" s="11"/>
      <c r="P1522" s="11"/>
      <c r="Q1522" s="11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</row>
    <row r="1523">
      <c r="A1523" s="11"/>
      <c r="B1523" s="10"/>
      <c r="C1523" s="15"/>
      <c r="D1523" s="12"/>
      <c r="E1523" s="16"/>
      <c r="F1523" s="10"/>
      <c r="G1523" s="10"/>
      <c r="H1523" s="10"/>
      <c r="I1523" s="11"/>
      <c r="J1523" s="11"/>
      <c r="K1523" s="11"/>
      <c r="L1523" s="11"/>
      <c r="M1523" s="10"/>
      <c r="N1523" s="2"/>
      <c r="O1523" s="11"/>
      <c r="P1523" s="11"/>
      <c r="Q1523" s="11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</row>
    <row r="1524">
      <c r="A1524" s="11"/>
      <c r="B1524" s="10"/>
      <c r="C1524" s="15"/>
      <c r="D1524" s="12"/>
      <c r="E1524" s="16"/>
      <c r="F1524" s="10"/>
      <c r="G1524" s="10"/>
      <c r="H1524" s="10"/>
      <c r="I1524" s="11"/>
      <c r="J1524" s="11"/>
      <c r="K1524" s="11"/>
      <c r="L1524" s="11"/>
      <c r="M1524" s="10"/>
      <c r="N1524" s="2"/>
      <c r="O1524" s="11"/>
      <c r="P1524" s="11"/>
      <c r="Q1524" s="11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</row>
    <row r="1525">
      <c r="A1525" s="11"/>
      <c r="B1525" s="10"/>
      <c r="C1525" s="15"/>
      <c r="D1525" s="12"/>
      <c r="E1525" s="16"/>
      <c r="F1525" s="10"/>
      <c r="G1525" s="10"/>
      <c r="H1525" s="10"/>
      <c r="I1525" s="11"/>
      <c r="J1525" s="11"/>
      <c r="K1525" s="11"/>
      <c r="L1525" s="11"/>
      <c r="M1525" s="10"/>
      <c r="N1525" s="2"/>
      <c r="O1525" s="11"/>
      <c r="P1525" s="11"/>
      <c r="Q1525" s="11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</row>
    <row r="1526">
      <c r="A1526" s="11"/>
      <c r="B1526" s="10"/>
      <c r="C1526" s="15"/>
      <c r="D1526" s="12"/>
      <c r="E1526" s="16"/>
      <c r="F1526" s="10"/>
      <c r="G1526" s="10"/>
      <c r="H1526" s="10"/>
      <c r="I1526" s="11"/>
      <c r="J1526" s="11"/>
      <c r="K1526" s="11"/>
      <c r="L1526" s="11"/>
      <c r="M1526" s="10"/>
      <c r="N1526" s="2"/>
      <c r="O1526" s="11"/>
      <c r="P1526" s="11"/>
      <c r="Q1526" s="11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</row>
    <row r="1527">
      <c r="A1527" s="11"/>
      <c r="B1527" s="10"/>
      <c r="C1527" s="15"/>
      <c r="D1527" s="12"/>
      <c r="E1527" s="16"/>
      <c r="F1527" s="10"/>
      <c r="G1527" s="10"/>
      <c r="H1527" s="10"/>
      <c r="I1527" s="11"/>
      <c r="J1527" s="11"/>
      <c r="K1527" s="11"/>
      <c r="L1527" s="11"/>
      <c r="M1527" s="10"/>
      <c r="N1527" s="2"/>
      <c r="O1527" s="11"/>
      <c r="P1527" s="11"/>
      <c r="Q1527" s="11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</row>
    <row r="1528">
      <c r="A1528" s="11"/>
      <c r="B1528" s="10"/>
      <c r="C1528" s="15"/>
      <c r="D1528" s="12"/>
      <c r="E1528" s="16"/>
      <c r="F1528" s="10"/>
      <c r="G1528" s="10"/>
      <c r="H1528" s="10"/>
      <c r="I1528" s="11"/>
      <c r="J1528" s="11"/>
      <c r="K1528" s="11"/>
      <c r="L1528" s="11"/>
      <c r="M1528" s="10"/>
      <c r="N1528" s="2"/>
      <c r="O1528" s="11"/>
      <c r="P1528" s="11"/>
      <c r="Q1528" s="11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</row>
    <row r="1529">
      <c r="A1529" s="11"/>
      <c r="B1529" s="10"/>
      <c r="C1529" s="15"/>
      <c r="D1529" s="12"/>
      <c r="E1529" s="16"/>
      <c r="F1529" s="10"/>
      <c r="G1529" s="10"/>
      <c r="H1529" s="10"/>
      <c r="I1529" s="11"/>
      <c r="J1529" s="11"/>
      <c r="K1529" s="11"/>
      <c r="L1529" s="11"/>
      <c r="M1529" s="10"/>
      <c r="N1529" s="2"/>
      <c r="O1529" s="11"/>
      <c r="P1529" s="11"/>
      <c r="Q1529" s="11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</row>
    <row r="1530">
      <c r="A1530" s="11"/>
      <c r="B1530" s="10"/>
      <c r="C1530" s="15"/>
      <c r="D1530" s="12"/>
      <c r="E1530" s="16"/>
      <c r="F1530" s="10"/>
      <c r="G1530" s="10"/>
      <c r="H1530" s="10"/>
      <c r="I1530" s="11"/>
      <c r="J1530" s="11"/>
      <c r="K1530" s="11"/>
      <c r="L1530" s="11"/>
      <c r="M1530" s="10"/>
      <c r="N1530" s="2"/>
      <c r="O1530" s="11"/>
      <c r="P1530" s="11"/>
      <c r="Q1530" s="11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</row>
    <row r="1531">
      <c r="A1531" s="11"/>
      <c r="B1531" s="10"/>
      <c r="C1531" s="15"/>
      <c r="D1531" s="12"/>
      <c r="E1531" s="16"/>
      <c r="F1531" s="10"/>
      <c r="G1531" s="10"/>
      <c r="H1531" s="10"/>
      <c r="I1531" s="11"/>
      <c r="J1531" s="11"/>
      <c r="K1531" s="11"/>
      <c r="L1531" s="11"/>
      <c r="M1531" s="10"/>
      <c r="N1531" s="2"/>
      <c r="O1531" s="11"/>
      <c r="P1531" s="11"/>
      <c r="Q1531" s="11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</row>
    <row r="1532">
      <c r="A1532" s="11"/>
      <c r="B1532" s="10"/>
      <c r="C1532" s="15"/>
      <c r="D1532" s="12"/>
      <c r="E1532" s="16"/>
      <c r="F1532" s="10"/>
      <c r="G1532" s="10"/>
      <c r="H1532" s="10"/>
      <c r="I1532" s="11"/>
      <c r="J1532" s="11"/>
      <c r="K1532" s="11"/>
      <c r="L1532" s="11"/>
      <c r="M1532" s="10"/>
      <c r="N1532" s="2"/>
      <c r="O1532" s="11"/>
      <c r="P1532" s="11"/>
      <c r="Q1532" s="11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</row>
    <row r="1533">
      <c r="A1533" s="11"/>
      <c r="B1533" s="10"/>
      <c r="C1533" s="15"/>
      <c r="D1533" s="12"/>
      <c r="E1533" s="16"/>
      <c r="F1533" s="10"/>
      <c r="G1533" s="10"/>
      <c r="H1533" s="10"/>
      <c r="I1533" s="11"/>
      <c r="J1533" s="11"/>
      <c r="K1533" s="11"/>
      <c r="L1533" s="11"/>
      <c r="M1533" s="10"/>
      <c r="N1533" s="2"/>
      <c r="O1533" s="11"/>
      <c r="P1533" s="11"/>
      <c r="Q1533" s="11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</row>
    <row r="1534">
      <c r="A1534" s="11"/>
      <c r="B1534" s="10"/>
      <c r="C1534" s="15"/>
      <c r="D1534" s="12"/>
      <c r="E1534" s="16"/>
      <c r="F1534" s="10"/>
      <c r="G1534" s="10"/>
      <c r="H1534" s="10"/>
      <c r="I1534" s="11"/>
      <c r="J1534" s="11"/>
      <c r="K1534" s="11"/>
      <c r="L1534" s="11"/>
      <c r="M1534" s="10"/>
      <c r="N1534" s="2"/>
      <c r="O1534" s="11"/>
      <c r="P1534" s="11"/>
      <c r="Q1534" s="11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</row>
    <row r="1535">
      <c r="A1535" s="11"/>
      <c r="B1535" s="10"/>
      <c r="C1535" s="15"/>
      <c r="D1535" s="12"/>
      <c r="E1535" s="16"/>
      <c r="F1535" s="10"/>
      <c r="G1535" s="10"/>
      <c r="H1535" s="10"/>
      <c r="I1535" s="11"/>
      <c r="J1535" s="11"/>
      <c r="K1535" s="11"/>
      <c r="L1535" s="11"/>
      <c r="M1535" s="10"/>
      <c r="N1535" s="2"/>
      <c r="O1535" s="11"/>
      <c r="P1535" s="11"/>
      <c r="Q1535" s="11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</row>
    <row r="1536">
      <c r="A1536" s="11"/>
      <c r="B1536" s="10"/>
      <c r="C1536" s="15"/>
      <c r="D1536" s="12"/>
      <c r="E1536" s="16"/>
      <c r="F1536" s="10"/>
      <c r="G1536" s="10"/>
      <c r="H1536" s="10"/>
      <c r="I1536" s="11"/>
      <c r="J1536" s="11"/>
      <c r="K1536" s="11"/>
      <c r="L1536" s="11"/>
      <c r="M1536" s="10"/>
      <c r="N1536" s="2"/>
      <c r="O1536" s="11"/>
      <c r="P1536" s="11"/>
      <c r="Q1536" s="11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</row>
    <row r="1537">
      <c r="A1537" s="11"/>
      <c r="B1537" s="10"/>
      <c r="C1537" s="15"/>
      <c r="D1537" s="12"/>
      <c r="E1537" s="16"/>
      <c r="F1537" s="10"/>
      <c r="G1537" s="10"/>
      <c r="H1537" s="10"/>
      <c r="I1537" s="11"/>
      <c r="J1537" s="11"/>
      <c r="K1537" s="11"/>
      <c r="L1537" s="11"/>
      <c r="M1537" s="10"/>
      <c r="N1537" s="2"/>
      <c r="O1537" s="11"/>
      <c r="P1537" s="11"/>
      <c r="Q1537" s="11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</row>
    <row r="1538">
      <c r="A1538" s="11"/>
      <c r="B1538" s="10"/>
      <c r="C1538" s="15"/>
      <c r="D1538" s="12"/>
      <c r="E1538" s="16"/>
      <c r="F1538" s="10"/>
      <c r="G1538" s="10"/>
      <c r="H1538" s="10"/>
      <c r="I1538" s="11"/>
      <c r="J1538" s="11"/>
      <c r="K1538" s="11"/>
      <c r="L1538" s="11"/>
      <c r="M1538" s="10"/>
      <c r="N1538" s="2"/>
      <c r="O1538" s="11"/>
      <c r="P1538" s="11"/>
      <c r="Q1538" s="11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</row>
    <row r="1539">
      <c r="A1539" s="11"/>
      <c r="B1539" s="10"/>
      <c r="C1539" s="15"/>
      <c r="D1539" s="12"/>
      <c r="E1539" s="16"/>
      <c r="F1539" s="10"/>
      <c r="G1539" s="10"/>
      <c r="H1539" s="10"/>
      <c r="I1539" s="11"/>
      <c r="J1539" s="11"/>
      <c r="K1539" s="11"/>
      <c r="L1539" s="11"/>
      <c r="M1539" s="10"/>
      <c r="N1539" s="2"/>
      <c r="O1539" s="11"/>
      <c r="P1539" s="11"/>
      <c r="Q1539" s="11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</row>
    <row r="1540">
      <c r="A1540" s="11"/>
      <c r="B1540" s="10"/>
      <c r="C1540" s="15"/>
      <c r="D1540" s="12"/>
      <c r="E1540" s="16"/>
      <c r="F1540" s="10"/>
      <c r="G1540" s="10"/>
      <c r="H1540" s="10"/>
      <c r="I1540" s="11"/>
      <c r="J1540" s="11"/>
      <c r="K1540" s="11"/>
      <c r="L1540" s="11"/>
      <c r="M1540" s="10"/>
      <c r="N1540" s="2"/>
      <c r="O1540" s="11"/>
      <c r="P1540" s="11"/>
      <c r="Q1540" s="11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</row>
    <row r="1541">
      <c r="A1541" s="11"/>
      <c r="B1541" s="10"/>
      <c r="C1541" s="15"/>
      <c r="D1541" s="12"/>
      <c r="E1541" s="16"/>
      <c r="F1541" s="10"/>
      <c r="G1541" s="10"/>
      <c r="H1541" s="10"/>
      <c r="I1541" s="11"/>
      <c r="J1541" s="11"/>
      <c r="K1541" s="11"/>
      <c r="L1541" s="11"/>
      <c r="M1541" s="10"/>
      <c r="N1541" s="2"/>
      <c r="O1541" s="11"/>
      <c r="P1541" s="11"/>
      <c r="Q1541" s="11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</row>
    <row r="1542">
      <c r="A1542" s="11"/>
      <c r="B1542" s="10"/>
      <c r="C1542" s="15"/>
      <c r="D1542" s="12"/>
      <c r="E1542" s="16"/>
      <c r="F1542" s="10"/>
      <c r="G1542" s="10"/>
      <c r="H1542" s="10"/>
      <c r="I1542" s="11"/>
      <c r="J1542" s="11"/>
      <c r="K1542" s="11"/>
      <c r="L1542" s="11"/>
      <c r="M1542" s="10"/>
      <c r="N1542" s="2"/>
      <c r="O1542" s="11"/>
      <c r="P1542" s="11"/>
      <c r="Q1542" s="11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</row>
    <row r="1543">
      <c r="A1543" s="11"/>
      <c r="B1543" s="10"/>
      <c r="C1543" s="15"/>
      <c r="D1543" s="12"/>
      <c r="E1543" s="16"/>
      <c r="F1543" s="10"/>
      <c r="G1543" s="10"/>
      <c r="H1543" s="10"/>
      <c r="I1543" s="11"/>
      <c r="J1543" s="11"/>
      <c r="K1543" s="11"/>
      <c r="L1543" s="11"/>
      <c r="M1543" s="10"/>
      <c r="N1543" s="2"/>
      <c r="O1543" s="11"/>
      <c r="P1543" s="11"/>
      <c r="Q1543" s="11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</row>
    <row r="1544">
      <c r="A1544" s="11"/>
      <c r="B1544" s="10"/>
      <c r="C1544" s="15"/>
      <c r="D1544" s="12"/>
      <c r="E1544" s="16"/>
      <c r="F1544" s="10"/>
      <c r="G1544" s="10"/>
      <c r="H1544" s="10"/>
      <c r="I1544" s="11"/>
      <c r="J1544" s="11"/>
      <c r="K1544" s="11"/>
      <c r="L1544" s="11"/>
      <c r="M1544" s="10"/>
      <c r="N1544" s="2"/>
      <c r="O1544" s="11"/>
      <c r="P1544" s="11"/>
      <c r="Q1544" s="11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</row>
    <row r="1545">
      <c r="A1545" s="11"/>
      <c r="B1545" s="10"/>
      <c r="C1545" s="15"/>
      <c r="D1545" s="12"/>
      <c r="E1545" s="16"/>
      <c r="F1545" s="10"/>
      <c r="G1545" s="10"/>
      <c r="H1545" s="10"/>
      <c r="I1545" s="11"/>
      <c r="J1545" s="11"/>
      <c r="K1545" s="11"/>
      <c r="L1545" s="11"/>
      <c r="M1545" s="10"/>
      <c r="N1545" s="2"/>
      <c r="O1545" s="11"/>
      <c r="P1545" s="11"/>
      <c r="Q1545" s="11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</row>
    <row r="1546">
      <c r="A1546" s="11"/>
      <c r="B1546" s="10"/>
      <c r="C1546" s="15"/>
      <c r="D1546" s="12"/>
      <c r="E1546" s="16"/>
      <c r="F1546" s="10"/>
      <c r="G1546" s="10"/>
      <c r="H1546" s="10"/>
      <c r="I1546" s="11"/>
      <c r="J1546" s="11"/>
      <c r="K1546" s="11"/>
      <c r="L1546" s="11"/>
      <c r="M1546" s="10"/>
      <c r="N1546" s="2"/>
      <c r="O1546" s="11"/>
      <c r="P1546" s="11"/>
      <c r="Q1546" s="11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</row>
    <row r="1547">
      <c r="A1547" s="11"/>
      <c r="B1547" s="10"/>
      <c r="C1547" s="15"/>
      <c r="D1547" s="12"/>
      <c r="E1547" s="16"/>
      <c r="F1547" s="10"/>
      <c r="G1547" s="10"/>
      <c r="H1547" s="10"/>
      <c r="I1547" s="11"/>
      <c r="J1547" s="11"/>
      <c r="K1547" s="11"/>
      <c r="L1547" s="11"/>
      <c r="M1547" s="10"/>
      <c r="N1547" s="2"/>
      <c r="O1547" s="11"/>
      <c r="P1547" s="11"/>
      <c r="Q1547" s="11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</row>
    <row r="1548">
      <c r="A1548" s="11"/>
      <c r="B1548" s="10"/>
      <c r="C1548" s="15"/>
      <c r="D1548" s="12"/>
      <c r="E1548" s="16"/>
      <c r="F1548" s="10"/>
      <c r="G1548" s="10"/>
      <c r="H1548" s="10"/>
      <c r="I1548" s="11"/>
      <c r="J1548" s="11"/>
      <c r="K1548" s="11"/>
      <c r="L1548" s="11"/>
      <c r="M1548" s="10"/>
      <c r="N1548" s="2"/>
      <c r="O1548" s="11"/>
      <c r="P1548" s="11"/>
      <c r="Q1548" s="11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</row>
    <row r="1549">
      <c r="A1549" s="11"/>
      <c r="B1549" s="10"/>
      <c r="C1549" s="15"/>
      <c r="D1549" s="12"/>
      <c r="E1549" s="16"/>
      <c r="F1549" s="10"/>
      <c r="G1549" s="10"/>
      <c r="H1549" s="10"/>
      <c r="I1549" s="11"/>
      <c r="J1549" s="11"/>
      <c r="K1549" s="11"/>
      <c r="L1549" s="11"/>
      <c r="M1549" s="10"/>
      <c r="N1549" s="2"/>
      <c r="O1549" s="11"/>
      <c r="P1549" s="11"/>
      <c r="Q1549" s="11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</row>
  </sheetData>
  <customSheetViews>
    <customSheetView guid="{3CCF8C87-9E33-4F18-BF1C-F0917FE8CEC7}" filter="1" showAutoFilter="1">
      <autoFilter ref="$A$1:$Z$644">
        <filterColumn colId="1">
          <filters>
            <filter val="Põlva linn"/>
            <filter val="setomaa vald"/>
          </filters>
        </filterColumn>
      </autoFilter>
      <extLst>
        <ext uri="GoogleSheetsCustomDataVersion1">
          <go:sheetsCustomData xmlns:go="http://customooxmlschemas.google.com/" filterViewId="2102346639"/>
        </ext>
      </extLst>
    </customSheetView>
    <customSheetView guid="{92C93901-3AA5-4F37-8017-7D38BBFEC74F}" filter="1" showAutoFilter="1">
      <autoFilter ref="$A$1:$Z$672"/>
      <extLst>
        <ext uri="GoogleSheetsCustomDataVersion1">
          <go:sheetsCustomData xmlns:go="http://customooxmlschemas.google.com/" filterViewId="648919068"/>
        </ext>
      </extLst>
    </customSheetView>
    <customSheetView guid="{146483DD-2730-4DBC-B97B-98C9B3612340}" filter="1" showAutoFilter="1">
      <autoFilter ref="$A$1:$Z$1549"/>
      <extLst>
        <ext uri="GoogleSheetsCustomDataVersion1">
          <go:sheetsCustomData xmlns:go="http://customooxmlschemas.google.com/" filterViewId="672603510"/>
        </ext>
      </extLst>
    </customSheetView>
  </customSheetViews>
  <conditionalFormatting sqref="E392:G392">
    <cfRule type="colorScale" priority="1">
      <colorScale>
        <cfvo type="min"/>
        <cfvo type="max"/>
        <color rgb="FF57BB8A"/>
        <color rgb="FFFFFFFF"/>
      </colorScale>
    </cfRule>
  </conditionalFormatting>
  <conditionalFormatting sqref="E393:E395 F393:F396 G393:G395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F2"/>
    <hyperlink r:id="rId2" ref="D3"/>
    <hyperlink r:id="rId3" ref="F3"/>
    <hyperlink r:id="rId4" ref="D4"/>
    <hyperlink r:id="rId5" ref="F4"/>
    <hyperlink r:id="rId6" ref="D5"/>
    <hyperlink r:id="rId7" ref="F5"/>
    <hyperlink r:id="rId8" ref="D6"/>
    <hyperlink r:id="rId9" ref="F6"/>
    <hyperlink r:id="rId10" ref="D7"/>
    <hyperlink r:id="rId11" ref="F7"/>
    <hyperlink r:id="rId12" ref="D8"/>
    <hyperlink r:id="rId13" ref="F8"/>
    <hyperlink r:id="rId14" ref="F9"/>
    <hyperlink r:id="rId15" ref="D10"/>
    <hyperlink r:id="rId16" ref="D11"/>
    <hyperlink r:id="rId17" ref="D12"/>
    <hyperlink r:id="rId18" ref="F12"/>
    <hyperlink r:id="rId19" ref="D13"/>
    <hyperlink r:id="rId20" ref="F13"/>
    <hyperlink r:id="rId21" ref="D14"/>
    <hyperlink r:id="rId22" ref="F14"/>
    <hyperlink r:id="rId23" ref="D15"/>
    <hyperlink r:id="rId24" ref="F15"/>
    <hyperlink r:id="rId25" ref="D16"/>
    <hyperlink r:id="rId26" ref="F16"/>
    <hyperlink r:id="rId27" ref="D17"/>
    <hyperlink r:id="rId28" ref="F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3"/>
    <hyperlink r:id="rId40" ref="F23"/>
    <hyperlink r:id="rId41" ref="D24"/>
    <hyperlink r:id="rId42" ref="F24"/>
    <hyperlink r:id="rId43" ref="F25"/>
    <hyperlink r:id="rId44" ref="F27"/>
    <hyperlink r:id="rId45" ref="D28"/>
    <hyperlink r:id="rId46" ref="F28"/>
    <hyperlink r:id="rId47" ref="F29"/>
    <hyperlink r:id="rId48" ref="F30"/>
    <hyperlink r:id="rId49" ref="F31"/>
    <hyperlink r:id="rId50" ref="F32"/>
    <hyperlink r:id="rId51" ref="F35"/>
    <hyperlink r:id="rId52" ref="F36"/>
    <hyperlink r:id="rId53" ref="D40"/>
    <hyperlink r:id="rId54" ref="F40"/>
    <hyperlink r:id="rId55" ref="D41"/>
    <hyperlink r:id="rId56" ref="F41"/>
    <hyperlink r:id="rId57" ref="D42"/>
    <hyperlink r:id="rId58" ref="F42"/>
    <hyperlink r:id="rId59" ref="D43"/>
    <hyperlink r:id="rId60" ref="F43"/>
    <hyperlink r:id="rId61" ref="D44"/>
    <hyperlink r:id="rId62" ref="F44"/>
    <hyperlink r:id="rId63" ref="D45"/>
    <hyperlink r:id="rId64" ref="F45"/>
    <hyperlink r:id="rId65" ref="D46"/>
    <hyperlink r:id="rId66" ref="D47"/>
    <hyperlink r:id="rId67" ref="D48"/>
    <hyperlink r:id="rId68" ref="D51"/>
    <hyperlink r:id="rId69" ref="F51"/>
    <hyperlink r:id="rId70" ref="F52"/>
    <hyperlink r:id="rId71" ref="F53"/>
    <hyperlink r:id="rId72" ref="F62"/>
    <hyperlink r:id="rId73" ref="F63"/>
    <hyperlink r:id="rId74" ref="F64"/>
    <hyperlink r:id="rId75" ref="D66"/>
    <hyperlink r:id="rId76" ref="F66"/>
    <hyperlink r:id="rId77" ref="D67"/>
    <hyperlink r:id="rId78" ref="F67"/>
    <hyperlink r:id="rId79" ref="D68"/>
    <hyperlink r:id="rId80" ref="F68"/>
    <hyperlink r:id="rId81" ref="D69"/>
    <hyperlink r:id="rId82" ref="D70"/>
    <hyperlink r:id="rId83" ref="D71"/>
    <hyperlink r:id="rId84" ref="F71"/>
    <hyperlink r:id="rId85" ref="D72"/>
    <hyperlink r:id="rId86" ref="F72"/>
    <hyperlink r:id="rId87" ref="D73"/>
    <hyperlink r:id="rId88" ref="F73"/>
    <hyperlink r:id="rId89" ref="D74"/>
    <hyperlink r:id="rId90" ref="F74"/>
    <hyperlink r:id="rId91" ref="D75"/>
    <hyperlink r:id="rId92" ref="F75"/>
    <hyperlink r:id="rId93" ref="D76"/>
    <hyperlink r:id="rId94" ref="F76"/>
    <hyperlink r:id="rId95" ref="D77"/>
    <hyperlink r:id="rId96" ref="F77"/>
    <hyperlink r:id="rId97" ref="D78"/>
    <hyperlink r:id="rId98" ref="D79"/>
    <hyperlink r:id="rId99" ref="F79"/>
    <hyperlink r:id="rId100" ref="D80"/>
    <hyperlink r:id="rId101" ref="D81"/>
    <hyperlink r:id="rId102" ref="D82"/>
    <hyperlink r:id="rId103" ref="D83"/>
    <hyperlink r:id="rId104" ref="D84"/>
    <hyperlink r:id="rId105" ref="D85"/>
    <hyperlink r:id="rId106" ref="D86"/>
    <hyperlink r:id="rId107" ref="D87"/>
    <hyperlink r:id="rId108" ref="D89"/>
    <hyperlink r:id="rId109" ref="D90"/>
    <hyperlink r:id="rId110" ref="D91"/>
    <hyperlink r:id="rId111" ref="D92"/>
    <hyperlink r:id="rId112" ref="D93"/>
    <hyperlink r:id="rId113" ref="D94"/>
    <hyperlink r:id="rId114" ref="D95"/>
    <hyperlink r:id="rId115" ref="D96"/>
    <hyperlink r:id="rId116" ref="D97"/>
    <hyperlink r:id="rId117" ref="D98"/>
    <hyperlink r:id="rId118" ref="D99"/>
    <hyperlink r:id="rId119" ref="D100"/>
    <hyperlink r:id="rId120" ref="D101"/>
    <hyperlink r:id="rId121" ref="D102"/>
    <hyperlink r:id="rId122" ref="D103"/>
    <hyperlink r:id="rId123" ref="D105"/>
    <hyperlink r:id="rId124" ref="D106"/>
    <hyperlink r:id="rId125" ref="D107"/>
    <hyperlink r:id="rId126" ref="D108"/>
    <hyperlink r:id="rId127" ref="D109"/>
    <hyperlink r:id="rId128" ref="D110"/>
    <hyperlink r:id="rId129" ref="D111"/>
    <hyperlink r:id="rId130" ref="D112"/>
    <hyperlink r:id="rId131" ref="D113"/>
    <hyperlink r:id="rId132" ref="D114"/>
    <hyperlink r:id="rId133" ref="D115"/>
    <hyperlink r:id="rId134" ref="D116"/>
    <hyperlink r:id="rId135" ref="D117"/>
    <hyperlink r:id="rId136" ref="D118"/>
    <hyperlink r:id="rId137" ref="D119"/>
    <hyperlink r:id="rId138" ref="D120"/>
    <hyperlink r:id="rId139" ref="D121"/>
    <hyperlink r:id="rId140" ref="D122"/>
    <hyperlink r:id="rId141" ref="D123"/>
    <hyperlink r:id="rId142" ref="D124"/>
    <hyperlink r:id="rId143" ref="D125"/>
    <hyperlink r:id="rId144" ref="D126"/>
    <hyperlink r:id="rId145" ref="D127"/>
    <hyperlink r:id="rId146" ref="D128"/>
    <hyperlink r:id="rId147" ref="D129"/>
    <hyperlink r:id="rId148" ref="D130"/>
    <hyperlink r:id="rId149" ref="D131"/>
    <hyperlink r:id="rId150" ref="D132"/>
    <hyperlink r:id="rId151" ref="D133"/>
    <hyperlink r:id="rId152" ref="D134"/>
    <hyperlink r:id="rId153" ref="D135"/>
    <hyperlink r:id="rId154" ref="D136"/>
    <hyperlink r:id="rId155" ref="D137"/>
    <hyperlink r:id="rId156" ref="D138"/>
    <hyperlink r:id="rId157" ref="D139"/>
    <hyperlink r:id="rId158" ref="D140"/>
    <hyperlink r:id="rId159" ref="D141"/>
    <hyperlink r:id="rId160" ref="D142"/>
    <hyperlink r:id="rId161" ref="D143"/>
    <hyperlink r:id="rId162" ref="D144"/>
    <hyperlink r:id="rId163" ref="D145"/>
    <hyperlink r:id="rId164" ref="D146"/>
    <hyperlink r:id="rId165" ref="D147"/>
    <hyperlink r:id="rId166" ref="D148"/>
    <hyperlink r:id="rId167" ref="D149"/>
    <hyperlink r:id="rId168" ref="D150"/>
    <hyperlink r:id="rId169" ref="D151"/>
    <hyperlink r:id="rId170" ref="D152"/>
    <hyperlink r:id="rId171" ref="D153"/>
    <hyperlink r:id="rId172" ref="D154"/>
    <hyperlink r:id="rId173" ref="D155"/>
    <hyperlink r:id="rId174" ref="D156"/>
    <hyperlink r:id="rId175" ref="D157"/>
    <hyperlink r:id="rId176" ref="D158"/>
    <hyperlink r:id="rId177" ref="D159"/>
    <hyperlink r:id="rId178" ref="D160"/>
    <hyperlink r:id="rId179" ref="D161"/>
    <hyperlink r:id="rId180" ref="D162"/>
    <hyperlink r:id="rId181" ref="D163"/>
    <hyperlink r:id="rId182" ref="D164"/>
    <hyperlink r:id="rId183" ref="D165"/>
    <hyperlink r:id="rId184" ref="D166"/>
    <hyperlink r:id="rId185" ref="D167"/>
    <hyperlink r:id="rId186" ref="D168"/>
    <hyperlink r:id="rId187" ref="D169"/>
    <hyperlink r:id="rId188" ref="D170"/>
    <hyperlink r:id="rId189" ref="D171"/>
    <hyperlink r:id="rId190" ref="D172"/>
    <hyperlink r:id="rId191" ref="D173"/>
    <hyperlink r:id="rId192" ref="D174"/>
    <hyperlink r:id="rId193" ref="D175"/>
    <hyperlink r:id="rId194" ref="D176"/>
    <hyperlink r:id="rId195" ref="D177"/>
    <hyperlink r:id="rId196" ref="D178"/>
    <hyperlink r:id="rId197" ref="D179"/>
    <hyperlink r:id="rId198" ref="D180"/>
    <hyperlink r:id="rId199" ref="D181"/>
    <hyperlink r:id="rId200" ref="D182"/>
    <hyperlink r:id="rId201" ref="D184"/>
    <hyperlink r:id="rId202" ref="D185"/>
    <hyperlink r:id="rId203" ref="D187"/>
    <hyperlink r:id="rId204" ref="D188"/>
    <hyperlink r:id="rId205" ref="D189"/>
    <hyperlink r:id="rId206" ref="D190"/>
    <hyperlink r:id="rId207" ref="D191"/>
    <hyperlink r:id="rId208" ref="D192"/>
    <hyperlink r:id="rId209" ref="D194"/>
    <hyperlink r:id="rId210" ref="D197"/>
    <hyperlink r:id="rId211" ref="D200"/>
    <hyperlink r:id="rId212" ref="D201"/>
    <hyperlink r:id="rId213" ref="D202"/>
    <hyperlink r:id="rId214" ref="F202"/>
    <hyperlink r:id="rId215" ref="D203"/>
    <hyperlink r:id="rId216" ref="F203"/>
    <hyperlink r:id="rId217" ref="D204"/>
    <hyperlink r:id="rId218" ref="F204"/>
    <hyperlink r:id="rId219" ref="D205"/>
    <hyperlink r:id="rId220" ref="F205"/>
    <hyperlink r:id="rId221" ref="D206"/>
    <hyperlink r:id="rId222" ref="F206"/>
    <hyperlink r:id="rId223" ref="D207"/>
    <hyperlink r:id="rId224" ref="F207"/>
    <hyperlink r:id="rId225" ref="D208"/>
    <hyperlink r:id="rId226" ref="F208"/>
    <hyperlink r:id="rId227" ref="D209"/>
    <hyperlink r:id="rId228" ref="F209"/>
    <hyperlink r:id="rId229" ref="D210"/>
    <hyperlink r:id="rId230" ref="D211"/>
    <hyperlink r:id="rId231" ref="D212"/>
    <hyperlink r:id="rId232" ref="F212"/>
    <hyperlink r:id="rId233" ref="D213"/>
    <hyperlink r:id="rId234" ref="F213"/>
    <hyperlink r:id="rId235" ref="D214"/>
    <hyperlink r:id="rId236" ref="D215"/>
    <hyperlink r:id="rId237" ref="A216"/>
    <hyperlink r:id="rId238" ref="D216"/>
    <hyperlink r:id="rId239" ref="F216"/>
    <hyperlink r:id="rId240" ref="D217"/>
    <hyperlink r:id="rId241" ref="D218"/>
    <hyperlink r:id="rId242" ref="D219"/>
    <hyperlink r:id="rId243" ref="D220"/>
    <hyperlink r:id="rId244" ref="F221"/>
    <hyperlink r:id="rId245" ref="A280"/>
    <hyperlink r:id="rId246" ref="D280"/>
    <hyperlink r:id="rId247" ref="F280"/>
    <hyperlink r:id="rId248" ref="D282"/>
    <hyperlink r:id="rId249" ref="F282"/>
    <hyperlink r:id="rId250" ref="D283"/>
    <hyperlink r:id="rId251" ref="F283"/>
    <hyperlink r:id="rId252" ref="D284"/>
    <hyperlink r:id="rId253" ref="F284"/>
    <hyperlink r:id="rId254" ref="F285"/>
    <hyperlink r:id="rId255" ref="A286"/>
    <hyperlink r:id="rId256" ref="F286"/>
    <hyperlink r:id="rId257" ref="F287"/>
    <hyperlink r:id="rId258" ref="F288"/>
    <hyperlink r:id="rId259" ref="D289"/>
    <hyperlink r:id="rId260" ref="F289"/>
    <hyperlink r:id="rId261" ref="A291"/>
    <hyperlink r:id="rId262" ref="F292"/>
    <hyperlink r:id="rId263" ref="F293"/>
    <hyperlink r:id="rId264" ref="D294"/>
    <hyperlink r:id="rId265" ref="D295"/>
    <hyperlink r:id="rId266" ref="F295"/>
    <hyperlink r:id="rId267" ref="D308"/>
    <hyperlink r:id="rId268" ref="D309"/>
    <hyperlink r:id="rId269" ref="D310"/>
    <hyperlink r:id="rId270" ref="D311"/>
    <hyperlink r:id="rId271" ref="D315"/>
    <hyperlink r:id="rId272" ref="A316"/>
    <hyperlink r:id="rId273" ref="D316"/>
    <hyperlink r:id="rId274" ref="F316"/>
    <hyperlink r:id="rId275" ref="F319"/>
    <hyperlink r:id="rId276" ref="D320"/>
    <hyperlink r:id="rId277" ref="F320"/>
    <hyperlink r:id="rId278" ref="A323"/>
    <hyperlink r:id="rId279" ref="F323"/>
    <hyperlink r:id="rId280" ref="H323"/>
    <hyperlink r:id="rId281" ref="D325"/>
    <hyperlink r:id="rId282" ref="D326"/>
    <hyperlink r:id="rId283" ref="F326"/>
    <hyperlink r:id="rId284" ref="D327"/>
    <hyperlink r:id="rId285" ref="F327"/>
    <hyperlink r:id="rId286" ref="D328"/>
    <hyperlink r:id="rId287" ref="F328"/>
    <hyperlink r:id="rId288" ref="D329"/>
    <hyperlink r:id="rId289" ref="F329"/>
    <hyperlink r:id="rId290" ref="D330"/>
    <hyperlink r:id="rId291" ref="F330"/>
    <hyperlink r:id="rId292" ref="F331"/>
    <hyperlink r:id="rId293" ref="A332"/>
    <hyperlink r:id="rId294" ref="D332"/>
    <hyperlink r:id="rId295" ref="F332"/>
    <hyperlink r:id="rId296" ref="F333"/>
    <hyperlink r:id="rId297" ref="F334"/>
    <hyperlink r:id="rId298" ref="F335"/>
    <hyperlink r:id="rId299" ref="F336"/>
    <hyperlink r:id="rId300" ref="F337"/>
    <hyperlink r:id="rId301" ref="F338"/>
    <hyperlink r:id="rId302" ref="F339"/>
    <hyperlink r:id="rId303" ref="F340"/>
    <hyperlink r:id="rId304" ref="F341"/>
    <hyperlink r:id="rId305" ref="F342"/>
    <hyperlink r:id="rId306" ref="A343"/>
    <hyperlink r:id="rId307" ref="F343"/>
    <hyperlink r:id="rId308" ref="D344"/>
    <hyperlink r:id="rId309" ref="D352"/>
    <hyperlink r:id="rId310" ref="D355"/>
    <hyperlink r:id="rId311" ref="D358"/>
    <hyperlink r:id="rId312" ref="D361"/>
    <hyperlink r:id="rId313" ref="D369"/>
    <hyperlink r:id="rId314" ref="D370"/>
    <hyperlink r:id="rId315" ref="D373"/>
    <hyperlink r:id="rId316" ref="A375"/>
    <hyperlink r:id="rId317" ref="D377"/>
    <hyperlink r:id="rId318" ref="D380"/>
    <hyperlink r:id="rId319" ref="D381"/>
    <hyperlink r:id="rId320" ref="A382"/>
    <hyperlink r:id="rId321" ref="D382"/>
    <hyperlink r:id="rId322" ref="F382"/>
    <hyperlink r:id="rId323" ref="D383"/>
    <hyperlink r:id="rId324" ref="D384"/>
    <hyperlink r:id="rId325" ref="A385"/>
    <hyperlink r:id="rId326" ref="A386"/>
    <hyperlink r:id="rId327" ref="A387"/>
    <hyperlink r:id="rId328" ref="A388"/>
    <hyperlink r:id="rId329" ref="A390"/>
    <hyperlink r:id="rId330" ref="D391"/>
    <hyperlink r:id="rId331" ref="A392"/>
    <hyperlink r:id="rId332" ref="D392"/>
    <hyperlink r:id="rId333" ref="F392"/>
    <hyperlink r:id="rId334" ref="A393"/>
    <hyperlink r:id="rId335" ref="D393"/>
    <hyperlink r:id="rId336" ref="F393"/>
    <hyperlink r:id="rId337" ref="D394"/>
    <hyperlink r:id="rId338" ref="A395"/>
    <hyperlink r:id="rId339" ref="D395"/>
    <hyperlink r:id="rId340" ref="F395"/>
    <hyperlink r:id="rId341" ref="D396"/>
    <hyperlink r:id="rId342" ref="F396"/>
    <hyperlink r:id="rId343" ref="F397"/>
    <hyperlink r:id="rId344" ref="F398"/>
    <hyperlink r:id="rId345" ref="F399"/>
    <hyperlink r:id="rId346" ref="F400"/>
    <hyperlink r:id="rId347" ref="F401"/>
    <hyperlink r:id="rId348" ref="D402"/>
    <hyperlink r:id="rId349" ref="D403"/>
    <hyperlink r:id="rId350" ref="F403"/>
    <hyperlink r:id="rId351" ref="D404"/>
    <hyperlink r:id="rId352" ref="F404"/>
    <hyperlink r:id="rId353" ref="D405"/>
    <hyperlink r:id="rId354" ref="F405"/>
    <hyperlink r:id="rId355" ref="F406"/>
    <hyperlink r:id="rId356" ref="F407"/>
    <hyperlink r:id="rId357" ref="F408"/>
    <hyperlink r:id="rId358" ref="F409"/>
    <hyperlink r:id="rId359" ref="D410"/>
    <hyperlink r:id="rId360" ref="F410"/>
    <hyperlink r:id="rId361" ref="F411"/>
    <hyperlink r:id="rId362" ref="D412"/>
    <hyperlink r:id="rId363" ref="D413"/>
    <hyperlink r:id="rId364" ref="F426"/>
    <hyperlink r:id="rId365" ref="F427"/>
    <hyperlink r:id="rId366" ref="F428"/>
    <hyperlink r:id="rId367" ref="F429"/>
    <hyperlink r:id="rId368" ref="F430"/>
    <hyperlink r:id="rId369" ref="F431"/>
    <hyperlink r:id="rId370" ref="F432"/>
    <hyperlink r:id="rId371" ref="D433"/>
    <hyperlink r:id="rId372" ref="F433"/>
    <hyperlink r:id="rId373" ref="D434"/>
    <hyperlink r:id="rId374" ref="D435"/>
    <hyperlink r:id="rId375" ref="F435"/>
    <hyperlink r:id="rId376" ref="D436"/>
    <hyperlink r:id="rId377" ref="D437"/>
    <hyperlink r:id="rId378" ref="D438"/>
    <hyperlink r:id="rId379" ref="D439"/>
    <hyperlink r:id="rId380" ref="F439"/>
    <hyperlink r:id="rId381" ref="D440"/>
    <hyperlink r:id="rId382" ref="F440"/>
    <hyperlink r:id="rId383" ref="D441"/>
    <hyperlink r:id="rId384" ref="F441"/>
    <hyperlink r:id="rId385" ref="D442"/>
    <hyperlink r:id="rId386" ref="F442"/>
    <hyperlink r:id="rId387" ref="D446"/>
    <hyperlink r:id="rId388" ref="F446"/>
    <hyperlink r:id="rId389" ref="D447"/>
    <hyperlink r:id="rId390" ref="F447"/>
    <hyperlink r:id="rId391" ref="D448"/>
    <hyperlink r:id="rId392" ref="F448"/>
    <hyperlink r:id="rId393" ref="D449"/>
    <hyperlink r:id="rId394" ref="F449"/>
    <hyperlink r:id="rId395" ref="D450"/>
    <hyperlink r:id="rId396" ref="F450"/>
    <hyperlink r:id="rId397" ref="D451"/>
    <hyperlink r:id="rId398" ref="D457"/>
    <hyperlink r:id="rId399" ref="D458"/>
    <hyperlink r:id="rId400" ref="D459"/>
    <hyperlink r:id="rId401" ref="D460"/>
    <hyperlink r:id="rId402" ref="D461"/>
    <hyperlink r:id="rId403" ref="D462"/>
    <hyperlink r:id="rId404" ref="D463"/>
    <hyperlink r:id="rId405" ref="D464"/>
    <hyperlink r:id="rId406" ref="D465"/>
    <hyperlink r:id="rId407" ref="D466"/>
    <hyperlink r:id="rId408" ref="D467"/>
    <hyperlink r:id="rId409" ref="D468"/>
    <hyperlink r:id="rId410" ref="F468"/>
    <hyperlink r:id="rId411" ref="D469"/>
    <hyperlink r:id="rId412" ref="F469"/>
    <hyperlink r:id="rId413" ref="D470"/>
    <hyperlink r:id="rId414" ref="F470"/>
    <hyperlink r:id="rId415" ref="D473"/>
    <hyperlink r:id="rId416" ref="F473"/>
    <hyperlink r:id="rId417" ref="D475"/>
    <hyperlink r:id="rId418" ref="D476"/>
    <hyperlink r:id="rId419" ref="D477"/>
    <hyperlink r:id="rId420" ref="F478"/>
    <hyperlink r:id="rId421" ref="D479"/>
    <hyperlink r:id="rId422" ref="D480"/>
    <hyperlink r:id="rId423" ref="F480"/>
    <hyperlink r:id="rId424" ref="D481"/>
    <hyperlink r:id="rId425" ref="F482"/>
    <hyperlink r:id="rId426" ref="F483"/>
    <hyperlink r:id="rId427" ref="F484"/>
    <hyperlink r:id="rId428" ref="F485"/>
    <hyperlink r:id="rId429" ref="F488"/>
    <hyperlink r:id="rId430" ref="F489"/>
    <hyperlink r:id="rId431" ref="F491"/>
    <hyperlink r:id="rId432" ref="F493"/>
    <hyperlink r:id="rId433" ref="F494"/>
    <hyperlink r:id="rId434" ref="F495"/>
    <hyperlink r:id="rId435" ref="D496"/>
    <hyperlink r:id="rId436" ref="D497"/>
    <hyperlink r:id="rId437" ref="D498"/>
    <hyperlink r:id="rId438" ref="D499"/>
    <hyperlink r:id="rId439" ref="F499"/>
    <hyperlink r:id="rId440" ref="F500"/>
    <hyperlink r:id="rId441" ref="F502"/>
    <hyperlink r:id="rId442" ref="D503"/>
    <hyperlink r:id="rId443" ref="G504"/>
    <hyperlink r:id="rId444" ref="D505"/>
    <hyperlink r:id="rId445" ref="F505"/>
    <hyperlink r:id="rId446" ref="D506"/>
    <hyperlink r:id="rId447" ref="D507"/>
    <hyperlink r:id="rId448" ref="D508"/>
    <hyperlink r:id="rId449" ref="F508"/>
    <hyperlink r:id="rId450" ref="D509"/>
    <hyperlink r:id="rId451" ref="D510"/>
    <hyperlink r:id="rId452" ref="D511"/>
    <hyperlink r:id="rId453" ref="D512"/>
    <hyperlink r:id="rId454" ref="D514"/>
    <hyperlink r:id="rId455" ref="F514"/>
    <hyperlink r:id="rId456" ref="F515"/>
    <hyperlink r:id="rId457" ref="F516"/>
    <hyperlink r:id="rId458" ref="F517"/>
    <hyperlink r:id="rId459" ref="F518"/>
    <hyperlink r:id="rId460" ref="F519"/>
    <hyperlink r:id="rId461" ref="D521"/>
    <hyperlink r:id="rId462" ref="D522"/>
    <hyperlink r:id="rId463" ref="D523"/>
    <hyperlink r:id="rId464" ref="F523"/>
    <hyperlink r:id="rId465" ref="D524"/>
    <hyperlink r:id="rId466" ref="F524"/>
    <hyperlink r:id="rId467" ref="D525"/>
    <hyperlink r:id="rId468" ref="D527"/>
    <hyperlink r:id="rId469" ref="D528"/>
    <hyperlink r:id="rId470" ref="D529"/>
    <hyperlink r:id="rId471" ref="D530"/>
    <hyperlink r:id="rId472" ref="D531"/>
    <hyperlink r:id="rId473" ref="D532"/>
    <hyperlink r:id="rId474" ref="D533"/>
    <hyperlink r:id="rId475" ref="D534"/>
    <hyperlink r:id="rId476" ref="D536"/>
    <hyperlink r:id="rId477" ref="D538"/>
    <hyperlink r:id="rId478" ref="F538"/>
    <hyperlink r:id="rId479" ref="D539"/>
    <hyperlink r:id="rId480" ref="F539"/>
    <hyperlink r:id="rId481" ref="D540"/>
    <hyperlink r:id="rId482" ref="F541"/>
    <hyperlink r:id="rId483" ref="D542"/>
    <hyperlink r:id="rId484" ref="F542"/>
    <hyperlink r:id="rId485" ref="D543"/>
    <hyperlink r:id="rId486" ref="D551"/>
    <hyperlink r:id="rId487" ref="D552"/>
    <hyperlink r:id="rId488" ref="F552"/>
    <hyperlink r:id="rId489" ref="D553"/>
    <hyperlink r:id="rId490" ref="F554"/>
    <hyperlink r:id="rId491" ref="F555"/>
    <hyperlink r:id="rId492" ref="F556"/>
    <hyperlink r:id="rId493" ref="D557"/>
    <hyperlink r:id="rId494" ref="F557"/>
    <hyperlink r:id="rId495" ref="D558"/>
    <hyperlink r:id="rId496" ref="D566"/>
    <hyperlink r:id="rId497" ref="F568"/>
    <hyperlink r:id="rId498" ref="D570"/>
    <hyperlink r:id="rId499" ref="F570"/>
    <hyperlink r:id="rId500" ref="F571"/>
    <hyperlink r:id="rId501" ref="F572"/>
    <hyperlink r:id="rId502" ref="F573"/>
    <hyperlink r:id="rId503" ref="F574"/>
    <hyperlink r:id="rId504" ref="F575"/>
    <hyperlink r:id="rId505" ref="D576"/>
    <hyperlink r:id="rId506" ref="F576"/>
    <hyperlink r:id="rId507" ref="F577"/>
    <hyperlink r:id="rId508" ref="F578"/>
    <hyperlink r:id="rId509" ref="F579"/>
    <hyperlink r:id="rId510" ref="D580"/>
    <hyperlink r:id="rId511" ref="F580"/>
    <hyperlink r:id="rId512" ref="D581"/>
    <hyperlink r:id="rId513" ref="F581"/>
    <hyperlink r:id="rId514" ref="H581"/>
    <hyperlink r:id="rId515" ref="D582"/>
    <hyperlink r:id="rId516" ref="A583"/>
    <hyperlink r:id="rId517" ref="D584"/>
    <hyperlink r:id="rId518" ref="F584"/>
    <hyperlink r:id="rId519" ref="D585"/>
    <hyperlink r:id="rId520" ref="F585"/>
    <hyperlink r:id="rId521" ref="F586"/>
    <hyperlink r:id="rId522" ref="D587"/>
    <hyperlink r:id="rId523" ref="F587"/>
    <hyperlink r:id="rId524" ref="A588"/>
    <hyperlink r:id="rId525" ref="D588"/>
    <hyperlink r:id="rId526" ref="F588"/>
    <hyperlink r:id="rId527" ref="F589"/>
    <hyperlink r:id="rId528" ref="A590"/>
    <hyperlink r:id="rId529" ref="F590"/>
    <hyperlink r:id="rId530" ref="F591"/>
    <hyperlink r:id="rId531" ref="F592"/>
    <hyperlink r:id="rId532" ref="F593"/>
    <hyperlink r:id="rId533" ref="A594"/>
    <hyperlink r:id="rId534" ref="D594"/>
    <hyperlink r:id="rId535" ref="F594"/>
    <hyperlink r:id="rId536" ref="A595"/>
    <hyperlink r:id="rId537" ref="F595"/>
    <hyperlink r:id="rId538" ref="D596"/>
    <hyperlink r:id="rId539" ref="F596"/>
    <hyperlink r:id="rId540" ref="D597"/>
    <hyperlink r:id="rId541" ref="F597"/>
    <hyperlink r:id="rId542" ref="D598"/>
    <hyperlink r:id="rId543" ref="F598"/>
    <hyperlink r:id="rId544" ref="D599"/>
    <hyperlink r:id="rId545" ref="F599"/>
    <hyperlink r:id="rId546" ref="D600"/>
    <hyperlink r:id="rId547" ref="D601"/>
    <hyperlink r:id="rId548" ref="F601"/>
    <hyperlink r:id="rId549" ref="D602"/>
    <hyperlink r:id="rId550" ref="F602"/>
    <hyperlink r:id="rId551" ref="D603"/>
    <hyperlink r:id="rId552" ref="F603"/>
    <hyperlink r:id="rId553" ref="D604"/>
    <hyperlink r:id="rId554" ref="F604"/>
    <hyperlink r:id="rId555" ref="F605"/>
    <hyperlink r:id="rId556" ref="D606"/>
    <hyperlink r:id="rId557" ref="F606"/>
    <hyperlink r:id="rId558" ref="A607"/>
    <hyperlink r:id="rId559" ref="D607"/>
    <hyperlink r:id="rId560" ref="F607"/>
    <hyperlink r:id="rId561" ref="A608"/>
    <hyperlink r:id="rId562" ref="D608"/>
    <hyperlink r:id="rId563" ref="A609"/>
    <hyperlink r:id="rId564" ref="D609"/>
    <hyperlink r:id="rId565" ref="F609"/>
    <hyperlink r:id="rId566" ref="A610"/>
    <hyperlink r:id="rId567" ref="D610"/>
    <hyperlink r:id="rId568" ref="A611"/>
    <hyperlink r:id="rId569" ref="A612"/>
    <hyperlink r:id="rId570" ref="D612"/>
    <hyperlink r:id="rId571" ref="F612"/>
    <hyperlink r:id="rId572" ref="A613"/>
    <hyperlink r:id="rId573" ref="D613"/>
    <hyperlink r:id="rId574" ref="F613"/>
    <hyperlink r:id="rId575" ref="A614"/>
    <hyperlink r:id="rId576" ref="D614"/>
    <hyperlink r:id="rId577" ref="D615"/>
    <hyperlink r:id="rId578" ref="F615"/>
    <hyperlink r:id="rId579" ref="D616"/>
    <hyperlink r:id="rId580" ref="F616"/>
    <hyperlink r:id="rId581" ref="D617"/>
    <hyperlink r:id="rId582" ref="F617"/>
    <hyperlink r:id="rId583" ref="D618"/>
    <hyperlink r:id="rId584" ref="F618"/>
    <hyperlink r:id="rId585" ref="D619"/>
    <hyperlink r:id="rId586" ref="F619"/>
    <hyperlink r:id="rId587" ref="D620"/>
    <hyperlink r:id="rId588" ref="N620"/>
    <hyperlink r:id="rId589" ref="D621"/>
    <hyperlink r:id="rId590" ref="F621"/>
    <hyperlink r:id="rId591" ref="D622"/>
    <hyperlink r:id="rId592" ref="D623"/>
    <hyperlink r:id="rId593" ref="D624"/>
    <hyperlink r:id="rId594" ref="D625"/>
    <hyperlink r:id="rId595" ref="D626"/>
    <hyperlink r:id="rId596" ref="D627"/>
    <hyperlink r:id="rId597" ref="D628"/>
    <hyperlink r:id="rId598" ref="D629"/>
    <hyperlink r:id="rId599" ref="D630"/>
    <hyperlink r:id="rId600" ref="D632"/>
    <hyperlink r:id="rId601" ref="D633"/>
    <hyperlink r:id="rId602" ref="D634"/>
    <hyperlink r:id="rId603" ref="D635"/>
    <hyperlink r:id="rId604" ref="F635"/>
    <hyperlink r:id="rId605" ref="D636"/>
    <hyperlink r:id="rId606" ref="E636"/>
    <hyperlink r:id="rId607" ref="D637"/>
    <hyperlink r:id="rId608" ref="F637"/>
    <hyperlink r:id="rId609" ref="D638"/>
    <hyperlink r:id="rId610" ref="D639"/>
    <hyperlink r:id="rId611" ref="D640"/>
    <hyperlink r:id="rId612" ref="D641"/>
    <hyperlink r:id="rId613" ref="D642"/>
    <hyperlink r:id="rId614" ref="D643"/>
    <hyperlink r:id="rId615" ref="F643"/>
    <hyperlink r:id="rId616" ref="D644"/>
    <hyperlink r:id="rId617" ref="F644"/>
    <hyperlink r:id="rId618" ref="D645"/>
    <hyperlink r:id="rId619" ref="D646"/>
    <hyperlink r:id="rId620" ref="D647"/>
    <hyperlink r:id="rId621" ref="D650"/>
    <hyperlink r:id="rId622" ref="D651"/>
    <hyperlink r:id="rId623" ref="D652"/>
    <hyperlink r:id="rId624" ref="D653"/>
    <hyperlink r:id="rId625" ref="D654"/>
    <hyperlink r:id="rId626" ref="D660"/>
    <hyperlink r:id="rId627" ref="D661"/>
    <hyperlink r:id="rId628" ref="D662"/>
    <hyperlink r:id="rId629" ref="D663"/>
    <hyperlink r:id="rId630" ref="D667"/>
    <hyperlink r:id="rId631" ref="A668"/>
    <hyperlink r:id="rId632" ref="D668"/>
    <hyperlink r:id="rId633" ref="A669"/>
    <hyperlink r:id="rId634" ref="D669"/>
    <hyperlink r:id="rId635" ref="A670"/>
    <hyperlink r:id="rId636" ref="D670"/>
    <hyperlink r:id="rId637" ref="A671"/>
    <hyperlink r:id="rId638" ref="D671"/>
    <hyperlink r:id="rId639" ref="A672"/>
    <hyperlink r:id="rId640" ref="D672"/>
  </hyperlinks>
  <drawing r:id="rId6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29"/>
    <col customWidth="1" min="2" max="7" width="25.29"/>
    <col customWidth="1" min="8" max="8" width="31.0"/>
    <col customWidth="1" min="9" max="17" width="25.29"/>
    <col customWidth="1" min="18" max="18" width="30.29"/>
    <col customWidth="1" min="19" max="19" width="30.43"/>
    <col customWidth="1" min="20" max="24" width="25.29"/>
    <col customWidth="1" min="25" max="25" width="34.86"/>
    <col customWidth="1" min="26" max="37" width="25.29"/>
  </cols>
  <sheetData>
    <row r="1">
      <c r="A1" s="48"/>
      <c r="B1" s="49"/>
      <c r="C1" s="50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>
      <c r="A2" s="48"/>
      <c r="B2" s="49"/>
      <c r="C2" s="50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</row>
    <row r="3">
      <c r="A3" s="48"/>
      <c r="B3" s="49"/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</row>
    <row r="4">
      <c r="A4" s="53"/>
      <c r="B4" s="54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</row>
    <row r="5">
      <c r="A5" s="55" t="s">
        <v>1</v>
      </c>
      <c r="B5" s="56" t="s">
        <v>511</v>
      </c>
      <c r="C5" s="57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>
      <c r="A6" s="55" t="s">
        <v>2</v>
      </c>
      <c r="B6" s="56"/>
      <c r="C6" s="5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>
      <c r="A7" s="58" t="s">
        <v>9</v>
      </c>
      <c r="B7" s="56"/>
      <c r="C7" s="57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>
      <c r="A8" s="59" t="s">
        <v>20</v>
      </c>
      <c r="B8" s="56"/>
      <c r="C8" s="57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>
      <c r="A9" s="59" t="s">
        <v>8</v>
      </c>
      <c r="B9" s="60"/>
      <c r="C9" s="57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>
      <c r="A10" s="61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</row>
    <row r="13" ht="22.5" customHeight="1">
      <c r="A13" s="63" t="s">
        <v>3356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</row>
    <row r="14">
      <c r="A14" s="66" t="str">
        <f>IFERROR(__xludf.DUMMYFUNCTION("query('Kõik kokku'!1:672,""Select * "" &amp; IF(B5="""",IF(B6="""",IF(B7="""",IF(B8="""",IF(B9="""",,""where I&gt;='""&amp;B9&amp;""' ""),""where V = '""&amp;B8&amp;""' "") &amp; IF(B9="""",,""AND I&gt;='""&amp;B9&amp;""' ""),""where J = '""&amp;B7&amp;""' "") &amp; IF(B8="""",,""AND V = '""&amp;B8&amp;""' "") &amp;"&amp;" IF(B9="""",,""AND I&gt;='""&amp;B9&amp;""' ""),""where C = '""&amp;B6&amp;""' "" &amp; IF(B7="""",,""AND J = '""&amp;B7&amp;""' "") &amp; IF(B8="""",,""AND V = '""&amp;B8&amp;""' "") &amp; IF(B9="""",,""AND I&gt;='""&amp;B9&amp;""' "")),""where B = '""&amp;B5&amp;""'"" &amp; IF(B6="""",,""AND C = '""&amp;B6&amp;""' "") &amp; IF(B7="""&amp;""",,""AND J = '""&amp;B7&amp;""' "") &amp; IF(B8="""",,""AND V = '""&amp;B8&amp;""' "") &amp; IF(B9="""",,""AND I&gt;='""&amp;B9&amp;""'"")),1)"),"Asutuse nimi")</f>
        <v>Asutuse nimi</v>
      </c>
      <c r="B14" s="66" t="str">
        <f>IFERROR(__xludf.DUMMYFUNCTION("""COMPUTED_VALUE"""),"Omavalitsus")</f>
        <v>Omavalitsus</v>
      </c>
      <c r="C14" s="66" t="str">
        <f>IFERROR(__xludf.DUMMYFUNCTION("""COMPUTED_VALUE"""),"Asutuse tüüp")</f>
        <v>Asutuse tüüp</v>
      </c>
      <c r="D14" s="66" t="str">
        <f>IFERROR(__xludf.DUMMYFUNCTION("""COMPUTED_VALUE"""),"Koduleht")</f>
        <v>Koduleht</v>
      </c>
      <c r="E14" s="66" t="str">
        <f>IFERROR(__xludf.DUMMYFUNCTION("""COMPUTED_VALUE"""),"Kontakttelefon")</f>
        <v>Kontakttelefon</v>
      </c>
      <c r="F14" s="66" t="str">
        <f>IFERROR(__xludf.DUMMYFUNCTION("""COMPUTED_VALUE"""),"E-mail")</f>
        <v>E-mail</v>
      </c>
      <c r="G14" s="66" t="str">
        <f>IFERROR(__xludf.DUMMYFUNCTION("""COMPUTED_VALUE"""),"Kontaktisiku nimi")</f>
        <v>Kontaktisiku nimi</v>
      </c>
      <c r="H14" s="66" t="str">
        <f>IFERROR(__xludf.DUMMYFUNCTION("""COMPUTED_VALUE"""),"Postiaadress")</f>
        <v>Postiaadress</v>
      </c>
      <c r="I14" s="66" t="str">
        <f>IFERROR(__xludf.DUMMYFUNCTION("""COMPUTED_VALUE"""),"Mahutavus (inimesi)")</f>
        <v>Mahutavus (inimesi)</v>
      </c>
      <c r="J14" s="66" t="str">
        <f>IFERROR(__xludf.DUMMYFUNCTION("""COMPUTED_VALUE"""),"Saali olemasolu")</f>
        <v>Saali olemasolu</v>
      </c>
      <c r="K14" s="66" t="str">
        <f>IFERROR(__xludf.DUMMYFUNCTION("""COMPUTED_VALUE"""),"Saali asukoht (korrus)")</f>
        <v>Saali asukoht (korrus)</v>
      </c>
      <c r="L14" s="66" t="str">
        <f>IFERROR(__xludf.DUMMYFUNCTION("""COMPUTED_VALUE"""),"Saali mahutavus")</f>
        <v>Saali mahutavus</v>
      </c>
      <c r="M14" s="66" t="str">
        <f>IFERROR(__xludf.DUMMYFUNCTION("""COMPUTED_VALUE"""),"Saali lava mõõtmed")</f>
        <v>Saali lava mõõtmed</v>
      </c>
      <c r="N14" s="66" t="str">
        <f>IFERROR(__xludf.DUMMYFUNCTION("""COMPUTED_VALUE"""),"II saali mahutavus")</f>
        <v>II saali mahutavus</v>
      </c>
      <c r="O14" s="66" t="str">
        <f>IFERROR(__xludf.DUMMYFUNCTION("""COMPUTED_VALUE"""),"Helitehnilised võimalused")</f>
        <v>Helitehnilised võimalused</v>
      </c>
      <c r="P14" s="66" t="str">
        <f>IFERROR(__xludf.DUMMYFUNCTION("""COMPUTED_VALUE"""),"Valgustehnilised võimalused")</f>
        <v>Valgustehnilised võimalused</v>
      </c>
      <c r="Q14" s="66" t="str">
        <f>IFERROR(__xludf.DUMMYFUNCTION("""COMPUTED_VALUE"""),"Esitlustehnika võimalused")</f>
        <v>Esitlustehnika võimalused</v>
      </c>
      <c r="R14" s="66" t="str">
        <f>IFERROR(__xludf.DUMMYFUNCTION("""COMPUTED_VALUE"""),"ekraanimõõtmed (cm)")</f>
        <v>ekraanimõõtmed (cm)</v>
      </c>
      <c r="S14" s="66" t="str">
        <f>IFERROR(__xludf.DUMMYFUNCTION("""COMPUTED_VALUE"""),"Näitusesaali/galerii olemasolu")</f>
        <v>Näitusesaali/galerii olemasolu</v>
      </c>
      <c r="T14" s="66" t="str">
        <f>IFERROR(__xludf.DUMMYFUNCTION("""COMPUTED_VALUE"""),"Näitusesaali/galerii võimalused")</f>
        <v>Näitusesaali/galerii võimalused</v>
      </c>
      <c r="U14" s="66" t="str">
        <f>IFERROR(__xludf.DUMMYFUNCTION("""COMPUTED_VALUE"""),"Peakaitsme võimsus")</f>
        <v>Peakaitsme võimsus</v>
      </c>
      <c r="V14" s="66" t="str">
        <f>IFERROR(__xludf.DUMMYFUNCTION("""COMPUTED_VALUE"""),"Juurdepääs ratastooliga")</f>
        <v>Juurdepääs ratastooliga</v>
      </c>
      <c r="W14" s="66" t="str">
        <f>IFERROR(__xludf.DUMMYFUNCTION("""COMPUTED_VALUE"""),"Internetiühendus")</f>
        <v>Internetiühendus</v>
      </c>
      <c r="X14" s="66" t="str">
        <f>IFERROR(__xludf.DUMMYFUNCTION("""COMPUTED_VALUE"""),"Tualettide info")</f>
        <v>Tualettide info</v>
      </c>
      <c r="Y14" s="66" t="str">
        <f>IFERROR(__xludf.DUMMYFUNCTION("""COMPUTED_VALUE"""),"Parkimise info")</f>
        <v>Parkimise info</v>
      </c>
      <c r="Z14" s="66" t="str">
        <f>IFERROR(__xludf.DUMMYFUNCTION("""COMPUTED_VALUE"""),"Vabaõhusündmuste paiga olemasolu")</f>
        <v>Vabaõhusündmuste paiga olemasolu</v>
      </c>
      <c r="AA14" s="67" t="str">
        <f>IFERROR(__xludf.DUMMYFUNCTION("""COMPUTED_VALUE"""),"")</f>
        <v/>
      </c>
      <c r="AB14" s="67" t="str">
        <f>IFERROR(__xludf.DUMMYFUNCTION("""COMPUTED_VALUE"""),"")</f>
        <v/>
      </c>
      <c r="AC14" s="67" t="str">
        <f>IFERROR(__xludf.DUMMYFUNCTION("""COMPUTED_VALUE"""),"")</f>
        <v/>
      </c>
      <c r="AD14" s="67" t="str">
        <f>IFERROR(__xludf.DUMMYFUNCTION("""COMPUTED_VALUE"""),"")</f>
        <v/>
      </c>
      <c r="AE14" s="67" t="str">
        <f>IFERROR(__xludf.DUMMYFUNCTION("""COMPUTED_VALUE"""),"")</f>
        <v/>
      </c>
      <c r="AF14" s="67" t="str">
        <f>IFERROR(__xludf.DUMMYFUNCTION("""COMPUTED_VALUE"""),"")</f>
        <v/>
      </c>
      <c r="AG14" s="67" t="str">
        <f>IFERROR(__xludf.DUMMYFUNCTION("""COMPUTED_VALUE"""),"")</f>
        <v/>
      </c>
      <c r="AH14" s="67" t="str">
        <f>IFERROR(__xludf.DUMMYFUNCTION("""COMPUTED_VALUE"""),"")</f>
        <v/>
      </c>
      <c r="AI14" s="67" t="str">
        <f>IFERROR(__xludf.DUMMYFUNCTION("""COMPUTED_VALUE"""),"")</f>
        <v/>
      </c>
      <c r="AJ14" s="67"/>
      <c r="AK14" s="67"/>
    </row>
    <row r="15">
      <c r="A15" s="68" t="str">
        <f>IFERROR(__xludf.DUMMYFUNCTION("""COMPUTED_VALUE"""),"Lutsu Teatrimaja Teatri Kodu (Mänguasjamuuseum)")</f>
        <v>Lutsu Teatrimaja Teatri Kodu (Mänguasjamuuseum)</v>
      </c>
      <c r="B15" s="68" t="str">
        <f>IFERROR(__xludf.DUMMYFUNCTION("""COMPUTED_VALUE"""),"Tartu linn")</f>
        <v>Tartu linn</v>
      </c>
      <c r="C15" s="68" t="str">
        <f>IFERROR(__xludf.DUMMYFUNCTION("""COMPUTED_VALUE"""),"Teater")</f>
        <v>Teater</v>
      </c>
      <c r="D15" s="69" t="str">
        <f>IFERROR(__xludf.DUMMYFUNCTION("""COMPUTED_VALUE"""),"www.mm.ee ")</f>
        <v>www.mm.ee </v>
      </c>
      <c r="E15" s="68" t="str">
        <f>IFERROR(__xludf.DUMMYFUNCTION("""COMPUTED_VALUE"""),"746 1060")</f>
        <v>746 1060</v>
      </c>
      <c r="F15" s="68" t="str">
        <f>IFERROR(__xludf.DUMMYFUNCTION("""COMPUTED_VALUE"""),"teatri.kodu@mm.ee")</f>
        <v>teatri.kodu@mm.ee</v>
      </c>
      <c r="G15" s="68" t="str">
        <f>IFERROR(__xludf.DUMMYFUNCTION("""COMPUTED_VALUE"""),"Mare Varendi")</f>
        <v>Mare Varendi</v>
      </c>
      <c r="H15" s="68" t="str">
        <f>IFERROR(__xludf.DUMMYFUNCTION("""COMPUTED_VALUE"""),"Lutsu 2, 51005")</f>
        <v>Lutsu 2, 51005</v>
      </c>
      <c r="I15" s="68" t="str">
        <f>IFERROR(__xludf.DUMMYFUNCTION("""COMPUTED_VALUE"""),"100")</f>
        <v>100</v>
      </c>
      <c r="J15" s="68" t="str">
        <f>IFERROR(__xludf.DUMMYFUNCTION("""COMPUTED_VALUE"""),"Jah")</f>
        <v>Jah</v>
      </c>
      <c r="K15" s="68" t="str">
        <f>IFERROR(__xludf.DUMMYFUNCTION("""COMPUTED_VALUE"""),"Esimene")</f>
        <v>Esimene</v>
      </c>
      <c r="L15" s="68">
        <f>IFERROR(__xludf.DUMMYFUNCTION("""COMPUTED_VALUE"""),50.0)</f>
        <v>50</v>
      </c>
      <c r="M15" s="68" t="str">
        <f>IFERROR(__xludf.DUMMYFUNCTION("""COMPUTED_VALUE"""),"6x5m ")</f>
        <v>6x5m </v>
      </c>
      <c r="N15" s="68"/>
      <c r="O15" s="68" t="str">
        <f>IFERROR(__xludf.DUMMYFUNCTION("""COMPUTED_VALUE"""),"Olemas")</f>
        <v>Olemas</v>
      </c>
      <c r="P15" s="68" t="str">
        <f>IFERROR(__xludf.DUMMYFUNCTION("""COMPUTED_VALUE"""),"Olemas")</f>
        <v>Olemas</v>
      </c>
      <c r="Q15" s="68" t="str">
        <f>IFERROR(__xludf.DUMMYFUNCTION("""COMPUTED_VALUE"""),"Olemas")</f>
        <v>Olemas</v>
      </c>
      <c r="R15" s="68"/>
      <c r="S15" s="68" t="str">
        <f>IFERROR(__xludf.DUMMYFUNCTION("""COMPUTED_VALUE"""),"Ei")</f>
        <v>Ei</v>
      </c>
      <c r="T15" s="68" t="str">
        <f>IFERROR(__xludf.DUMMYFUNCTION("""COMPUTED_VALUE"""),"Seintele riputamisvõimalus")</f>
        <v>Seintele riputamisvõimalus</v>
      </c>
      <c r="U15" s="68"/>
      <c r="V15" s="68" t="str">
        <f>IFERROR(__xludf.DUMMYFUNCTION("""COMPUTED_VALUE"""),"Ei")</f>
        <v>Ei</v>
      </c>
      <c r="W15" s="68" t="str">
        <f>IFERROR(__xludf.DUMMYFUNCTION("""COMPUTED_VALUE"""),"Jah")</f>
        <v>Jah</v>
      </c>
      <c r="X15" s="68" t="str">
        <f>IFERROR(__xludf.DUMMYFUNCTION("""COMPUTED_VALUE"""),"Jah")</f>
        <v>Jah</v>
      </c>
      <c r="Y15" s="68" t="str">
        <f>IFERROR(__xludf.DUMMYFUNCTION("""COMPUTED_VALUE"""),"Tänaval")</f>
        <v>Tänaval</v>
      </c>
      <c r="Z15" s="68" t="str">
        <f>IFERROR(__xludf.DUMMYFUNCTION("""COMPUTED_VALUE"""),"Puudub")</f>
        <v>Puudub</v>
      </c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</row>
    <row r="16">
      <c r="A16" s="68" t="str">
        <f>IFERROR(__xludf.DUMMYFUNCTION("""COMPUTED_VALUE"""),"Sadamateater")</f>
        <v>Sadamateater</v>
      </c>
      <c r="B16" s="68" t="str">
        <f>IFERROR(__xludf.DUMMYFUNCTION("""COMPUTED_VALUE"""),"Tartu linn")</f>
        <v>Tartu linn</v>
      </c>
      <c r="C16" s="68" t="str">
        <f>IFERROR(__xludf.DUMMYFUNCTION("""COMPUTED_VALUE"""),"Teater")</f>
        <v>Teater</v>
      </c>
      <c r="D16" s="69" t="str">
        <f>IFERROR(__xludf.DUMMYFUNCTION("""COMPUTED_VALUE"""),"www.vanemuine.ee/teatrimajad/sadamateater/")</f>
        <v>www.vanemuine.ee/teatrimajad/sadamateater/</v>
      </c>
      <c r="E16" s="68" t="str">
        <f>IFERROR(__xludf.DUMMYFUNCTION("""COMPUTED_VALUE"""),"7344 247")</f>
        <v>7344 247</v>
      </c>
      <c r="F16" s="68" t="str">
        <f>IFERROR(__xludf.DUMMYFUNCTION("""COMPUTED_VALUE"""),"erik.makarov@vanemuine.ee")</f>
        <v>erik.makarov@vanemuine.ee</v>
      </c>
      <c r="G16" s="68" t="str">
        <f>IFERROR(__xludf.DUMMYFUNCTION("""COMPUTED_VALUE"""),"Erik Makarov")</f>
        <v>Erik Makarov</v>
      </c>
      <c r="H16" s="68" t="str">
        <f>IFERROR(__xludf.DUMMYFUNCTION("""COMPUTED_VALUE"""),"Soola 5b, 51013")</f>
        <v>Soola 5b, 51013</v>
      </c>
      <c r="I16" s="68" t="str">
        <f>IFERROR(__xludf.DUMMYFUNCTION("""COMPUTED_VALUE"""),"400")</f>
        <v>400</v>
      </c>
      <c r="J16" s="68" t="str">
        <f>IFERROR(__xludf.DUMMYFUNCTION("""COMPUTED_VALUE"""),"Jah")</f>
        <v>Jah</v>
      </c>
      <c r="K16" s="68" t="str">
        <f>IFERROR(__xludf.DUMMYFUNCTION("""COMPUTED_VALUE"""),"Esimene")</f>
        <v>Esimene</v>
      </c>
      <c r="L16" s="68">
        <f>IFERROR(__xludf.DUMMYFUNCTION("""COMPUTED_VALUE"""),300.0)</f>
        <v>300</v>
      </c>
      <c r="M16" s="68" t="str">
        <f>IFERROR(__xludf.DUMMYFUNCTION("""COMPUTED_VALUE"""),"14,5x17m")</f>
        <v>14,5x17m</v>
      </c>
      <c r="N16" s="68"/>
      <c r="O16" s="68" t="str">
        <f>IFERROR(__xludf.DUMMYFUNCTION("""COMPUTED_VALUE"""),"Olemas")</f>
        <v>Olemas</v>
      </c>
      <c r="P16" s="68" t="str">
        <f>IFERROR(__xludf.DUMMYFUNCTION("""COMPUTED_VALUE"""),"OIemas")</f>
        <v>OIemas</v>
      </c>
      <c r="Q16" s="68" t="str">
        <f>IFERROR(__xludf.DUMMYFUNCTION("""COMPUTED_VALUE"""),"Olemas")</f>
        <v>Olemas</v>
      </c>
      <c r="R16" s="68"/>
      <c r="S16" s="68" t="str">
        <f>IFERROR(__xludf.DUMMYFUNCTION("""COMPUTED_VALUE"""),"Ei")</f>
        <v>Ei</v>
      </c>
      <c r="T16" s="68" t="str">
        <f>IFERROR(__xludf.DUMMYFUNCTION("""COMPUTED_VALUE"""),"Seintele riputamisvõimalus")</f>
        <v>Seintele riputamisvõimalus</v>
      </c>
      <c r="U16" s="68"/>
      <c r="V16" s="68" t="str">
        <f>IFERROR(__xludf.DUMMYFUNCTION("""COMPUTED_VALUE"""),"Jah")</f>
        <v>Jah</v>
      </c>
      <c r="W16" s="68" t="str">
        <f>IFERROR(__xludf.DUMMYFUNCTION("""COMPUTED_VALUE"""),"Jah")</f>
        <v>Jah</v>
      </c>
      <c r="X16" s="68" t="str">
        <f>IFERROR(__xludf.DUMMYFUNCTION("""COMPUTED_VALUE"""),"Jah")</f>
        <v>Jah</v>
      </c>
      <c r="Y16" s="68" t="str">
        <f>IFERROR(__xludf.DUMMYFUNCTION("""COMPUTED_VALUE"""),"Ligiduses parklad")</f>
        <v>Ligiduses parklad</v>
      </c>
      <c r="Z16" s="68" t="str">
        <f>IFERROR(__xludf.DUMMYFUNCTION("""COMPUTED_VALUE"""),"Puudub")</f>
        <v>Puudub</v>
      </c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</row>
    <row r="17">
      <c r="A17" s="68" t="str">
        <f>IFERROR(__xludf.DUMMYFUNCTION("""COMPUTED_VALUE"""),"Tartu Uus Teater")</f>
        <v>Tartu Uus Teater</v>
      </c>
      <c r="B17" s="68" t="str">
        <f>IFERROR(__xludf.DUMMYFUNCTION("""COMPUTED_VALUE"""),"Tartu linn")</f>
        <v>Tartu linn</v>
      </c>
      <c r="C17" s="68" t="str">
        <f>IFERROR(__xludf.DUMMYFUNCTION("""COMPUTED_VALUE"""),"Teater")</f>
        <v>Teater</v>
      </c>
      <c r="D17" s="69" t="str">
        <f>IFERROR(__xludf.DUMMYFUNCTION("""COMPUTED_VALUE"""),"www.uusteater.ee")</f>
        <v>www.uusteater.ee</v>
      </c>
      <c r="E17" s="68" t="str">
        <f>IFERROR(__xludf.DUMMYFUNCTION("""COMPUTED_VALUE"""),"5677 5977")</f>
        <v>5677 5977</v>
      </c>
      <c r="F17" s="68" t="str">
        <f>IFERROR(__xludf.DUMMYFUNCTION("""COMPUTED_VALUE"""),"tere@uusteater.ee ")</f>
        <v>tere@uusteater.ee </v>
      </c>
      <c r="G17" s="68" t="str">
        <f>IFERROR(__xludf.DUMMYFUNCTION("""COMPUTED_VALUE"""),"Maarja Mänd")</f>
        <v>Maarja Mänd</v>
      </c>
      <c r="H17" s="68" t="str">
        <f>IFERROR(__xludf.DUMMYFUNCTION("""COMPUTED_VALUE"""),"Lai 37, 51005")</f>
        <v>Lai 37, 51005</v>
      </c>
      <c r="I17" s="68" t="str">
        <f>IFERROR(__xludf.DUMMYFUNCTION("""COMPUTED_VALUE"""),"300+")</f>
        <v>300+</v>
      </c>
      <c r="J17" s="68" t="str">
        <f>IFERROR(__xludf.DUMMYFUNCTION("""COMPUTED_VALUE"""),"Jah")</f>
        <v>Jah</v>
      </c>
      <c r="K17" s="68" t="str">
        <f>IFERROR(__xludf.DUMMYFUNCTION("""COMPUTED_VALUE"""),"Esimene")</f>
        <v>Esimene</v>
      </c>
      <c r="L17" s="68"/>
      <c r="M17" s="68" t="str">
        <f>IFERROR(__xludf.DUMMYFUNCTION("""COMPUTED_VALUE"""),"10x10m")</f>
        <v>10x10m</v>
      </c>
      <c r="N17" s="68">
        <f>IFERROR(__xludf.DUMMYFUNCTION("""COMPUTED_VALUE"""),50.0)</f>
        <v>50</v>
      </c>
      <c r="O17" s="68" t="str">
        <f>IFERROR(__xludf.DUMMYFUNCTION("""COMPUTED_VALUE"""),"Olemas")</f>
        <v>Olemas</v>
      </c>
      <c r="P17" s="68" t="str">
        <f>IFERROR(__xludf.DUMMYFUNCTION("""COMPUTED_VALUE"""),"OIemas")</f>
        <v>OIemas</v>
      </c>
      <c r="Q17" s="68" t="str">
        <f>IFERROR(__xludf.DUMMYFUNCTION("""COMPUTED_VALUE"""),"Olemas")</f>
        <v>Olemas</v>
      </c>
      <c r="R17" s="68"/>
      <c r="S17" s="68" t="str">
        <f>IFERROR(__xludf.DUMMYFUNCTION("""COMPUTED_VALUE"""),"Ei")</f>
        <v>Ei</v>
      </c>
      <c r="T17" s="68" t="str">
        <f>IFERROR(__xludf.DUMMYFUNCTION("""COMPUTED_VALUE"""),"Seintele riputamisvõimalus")</f>
        <v>Seintele riputamisvõimalus</v>
      </c>
      <c r="U17" s="68" t="str">
        <f>IFERROR(__xludf.DUMMYFUNCTION("""COMPUTED_VALUE"""),"80A")</f>
        <v>80A</v>
      </c>
      <c r="V17" s="68" t="str">
        <f>IFERROR(__xludf.DUMMYFUNCTION("""COMPUTED_VALUE"""),"Jah")</f>
        <v>Jah</v>
      </c>
      <c r="W17" s="68" t="str">
        <f>IFERROR(__xludf.DUMMYFUNCTION("""COMPUTED_VALUE"""),"Jah")</f>
        <v>Jah</v>
      </c>
      <c r="X17" s="68" t="str">
        <f>IFERROR(__xludf.DUMMYFUNCTION("""COMPUTED_VALUE"""),"Jah")</f>
        <v>Jah</v>
      </c>
      <c r="Y17" s="68" t="str">
        <f>IFERROR(__xludf.DUMMYFUNCTION("""COMPUTED_VALUE"""),"Tänaval ")</f>
        <v>Tänaval </v>
      </c>
      <c r="Z17" s="68" t="str">
        <f>IFERROR(__xludf.DUMMYFUNCTION("""COMPUTED_VALUE"""),"Terass")</f>
        <v>Terass</v>
      </c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</row>
    <row r="18">
      <c r="A18" s="68" t="str">
        <f>IFERROR(__xludf.DUMMYFUNCTION("""COMPUTED_VALUE"""),"Vanemuine Suur maja")</f>
        <v>Vanemuine Suur maja</v>
      </c>
      <c r="B18" s="68" t="str">
        <f>IFERROR(__xludf.DUMMYFUNCTION("""COMPUTED_VALUE"""),"Tartu linn")</f>
        <v>Tartu linn</v>
      </c>
      <c r="C18" s="68" t="str">
        <f>IFERROR(__xludf.DUMMYFUNCTION("""COMPUTED_VALUE"""),"Teater")</f>
        <v>Teater</v>
      </c>
      <c r="D18" s="69" t="str">
        <f>IFERROR(__xludf.DUMMYFUNCTION("""COMPUTED_VALUE"""),"www.vanemuine.ee/teatrimajad/vanemuise-suur-maja/")</f>
        <v>www.vanemuine.ee/teatrimajad/vanemuise-suur-maja/</v>
      </c>
      <c r="E18" s="68" t="str">
        <f>IFERROR(__xludf.DUMMYFUNCTION("""COMPUTED_VALUE"""),"744 0100")</f>
        <v>744 0100</v>
      </c>
      <c r="F18" s="68" t="str">
        <f>IFERROR(__xludf.DUMMYFUNCTION("""COMPUTED_VALUE"""),"erik.makarov@vanemuine.ee")</f>
        <v>erik.makarov@vanemuine.ee</v>
      </c>
      <c r="G18" s="68" t="str">
        <f>IFERROR(__xludf.DUMMYFUNCTION("""COMPUTED_VALUE"""),"Erik Makarov")</f>
        <v>Erik Makarov</v>
      </c>
      <c r="H18" s="68" t="str">
        <f>IFERROR(__xludf.DUMMYFUNCTION("""COMPUTED_VALUE"""),"Vanemuise 6, 51003")</f>
        <v>Vanemuise 6, 51003</v>
      </c>
      <c r="I18" s="68" t="str">
        <f>IFERROR(__xludf.DUMMYFUNCTION("""COMPUTED_VALUE"""),"1000+")</f>
        <v>1000+</v>
      </c>
      <c r="J18" s="68" t="str">
        <f>IFERROR(__xludf.DUMMYFUNCTION("""COMPUTED_VALUE"""),"Jah")</f>
        <v>Jah</v>
      </c>
      <c r="K18" s="68" t="str">
        <f>IFERROR(__xludf.DUMMYFUNCTION("""COMPUTED_VALUE"""),"Teine")</f>
        <v>Teine</v>
      </c>
      <c r="L18" s="68">
        <f>IFERROR(__xludf.DUMMYFUNCTION("""COMPUTED_VALUE"""),672.0)</f>
        <v>672</v>
      </c>
      <c r="M18" s="68" t="str">
        <f>IFERROR(__xludf.DUMMYFUNCTION("""COMPUTED_VALUE"""),"266m2")</f>
        <v>266m2</v>
      </c>
      <c r="N18" s="68">
        <f>IFERROR(__xludf.DUMMYFUNCTION("""COMPUTED_VALUE"""),50.0)</f>
        <v>50</v>
      </c>
      <c r="O18" s="68" t="str">
        <f>IFERROR(__xludf.DUMMYFUNCTION("""COMPUTED_VALUE"""),"Olemas")</f>
        <v>Olemas</v>
      </c>
      <c r="P18" s="68" t="str">
        <f>IFERROR(__xludf.DUMMYFUNCTION("""COMPUTED_VALUE"""),"OIemas")</f>
        <v>OIemas</v>
      </c>
      <c r="Q18" s="68" t="str">
        <f>IFERROR(__xludf.DUMMYFUNCTION("""COMPUTED_VALUE"""),"Olemas")</f>
        <v>Olemas</v>
      </c>
      <c r="R18" s="68"/>
      <c r="S18" s="68" t="str">
        <f>IFERROR(__xludf.DUMMYFUNCTION("""COMPUTED_VALUE"""),"Jah")</f>
        <v>Jah</v>
      </c>
      <c r="T18" s="68" t="str">
        <f>IFERROR(__xludf.DUMMYFUNCTION("""COMPUTED_VALUE"""),"Galeriivalgustus")</f>
        <v>Galeriivalgustus</v>
      </c>
      <c r="U18" s="68"/>
      <c r="V18" s="68" t="str">
        <f>IFERROR(__xludf.DUMMYFUNCTION("""COMPUTED_VALUE"""),"Jah")</f>
        <v>Jah</v>
      </c>
      <c r="W18" s="68" t="str">
        <f>IFERROR(__xludf.DUMMYFUNCTION("""COMPUTED_VALUE"""),"Jah")</f>
        <v>Jah</v>
      </c>
      <c r="X18" s="68" t="str">
        <f>IFERROR(__xludf.DUMMYFUNCTION("""COMPUTED_VALUE"""),"Jah")</f>
        <v>Jah</v>
      </c>
      <c r="Y18" s="68" t="str">
        <f>IFERROR(__xludf.DUMMYFUNCTION("""COMPUTED_VALUE"""),"Parklad")</f>
        <v>Parklad</v>
      </c>
      <c r="Z18" s="68" t="str">
        <f>IFERROR(__xludf.DUMMYFUNCTION("""COMPUTED_VALUE"""),"Terass")</f>
        <v>Terass</v>
      </c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</row>
    <row r="19">
      <c r="A19" s="68" t="str">
        <f>IFERROR(__xludf.DUMMYFUNCTION("""COMPUTED_VALUE"""),"Karlova Teater")</f>
        <v>Karlova Teater</v>
      </c>
      <c r="B19" s="68" t="str">
        <f>IFERROR(__xludf.DUMMYFUNCTION("""COMPUTED_VALUE"""),"Tartu linn")</f>
        <v>Tartu linn</v>
      </c>
      <c r="C19" s="68" t="str">
        <f>IFERROR(__xludf.DUMMYFUNCTION("""COMPUTED_VALUE"""),"Teater")</f>
        <v>Teater</v>
      </c>
      <c r="D19" s="69" t="str">
        <f>IFERROR(__xludf.DUMMYFUNCTION("""COMPUTED_VALUE"""),"www.karlovateater.ee")</f>
        <v>www.karlovateater.ee</v>
      </c>
      <c r="E19" s="68" t="str">
        <f>IFERROR(__xludf.DUMMYFUNCTION("""COMPUTED_VALUE"""),"5398 6153")</f>
        <v>5398 6153</v>
      </c>
      <c r="F19" s="68" t="str">
        <f>IFERROR(__xludf.DUMMYFUNCTION("""COMPUTED_VALUE"""),"ruta@suveteater.ee")</f>
        <v>ruta@suveteater.ee</v>
      </c>
      <c r="G19" s="68" t="str">
        <f>IFERROR(__xludf.DUMMYFUNCTION("""COMPUTED_VALUE"""),"Ruta Rannu")</f>
        <v>Ruta Rannu</v>
      </c>
      <c r="H19" s="68" t="str">
        <f>IFERROR(__xludf.DUMMYFUNCTION("""COMPUTED_VALUE"""),"Tähe 66, 50107")</f>
        <v>Tähe 66, 50107</v>
      </c>
      <c r="I19" s="68" t="str">
        <f>IFERROR(__xludf.DUMMYFUNCTION("""COMPUTED_VALUE"""),"200")</f>
        <v>200</v>
      </c>
      <c r="J19" s="68" t="str">
        <f>IFERROR(__xludf.DUMMYFUNCTION("""COMPUTED_VALUE"""),"Jah")</f>
        <v>Jah</v>
      </c>
      <c r="K19" s="68" t="str">
        <f>IFERROR(__xludf.DUMMYFUNCTION("""COMPUTED_VALUE"""),"Esimene")</f>
        <v>Esimene</v>
      </c>
      <c r="L19" s="68">
        <f>IFERROR(__xludf.DUMMYFUNCTION("""COMPUTED_VALUE"""),130.0)</f>
        <v>130</v>
      </c>
      <c r="M19" s="68" t="str">
        <f>IFERROR(__xludf.DUMMYFUNCTION("""COMPUTED_VALUE"""),"3,5x8m ")</f>
        <v>3,5x8m </v>
      </c>
      <c r="N19" s="68">
        <f>IFERROR(__xludf.DUMMYFUNCTION("""COMPUTED_VALUE"""),50.0)</f>
        <v>50</v>
      </c>
      <c r="O19" s="68" t="str">
        <f>IFERROR(__xludf.DUMMYFUNCTION("""COMPUTED_VALUE"""),"Olemas")</f>
        <v>Olemas</v>
      </c>
      <c r="P19" s="68" t="str">
        <f>IFERROR(__xludf.DUMMYFUNCTION("""COMPUTED_VALUE"""),"OIemas")</f>
        <v>OIemas</v>
      </c>
      <c r="Q19" s="68" t="str">
        <f>IFERROR(__xludf.DUMMYFUNCTION("""COMPUTED_VALUE"""),"Olemas")</f>
        <v>Olemas</v>
      </c>
      <c r="R19" s="68"/>
      <c r="S19" s="68" t="str">
        <f>IFERROR(__xludf.DUMMYFUNCTION("""COMPUTED_VALUE"""),"Ei")</f>
        <v>Ei</v>
      </c>
      <c r="T19" s="68" t="str">
        <f>IFERROR(__xludf.DUMMYFUNCTION("""COMPUTED_VALUE"""),"Seintele riputamisvõimalus")</f>
        <v>Seintele riputamisvõimalus</v>
      </c>
      <c r="U19" s="68"/>
      <c r="V19" s="68" t="str">
        <f>IFERROR(__xludf.DUMMYFUNCTION("""COMPUTED_VALUE"""),"Jah")</f>
        <v>Jah</v>
      </c>
      <c r="W19" s="68" t="str">
        <f>IFERROR(__xludf.DUMMYFUNCTION("""COMPUTED_VALUE"""),"Jah")</f>
        <v>Jah</v>
      </c>
      <c r="X19" s="68" t="str">
        <f>IFERROR(__xludf.DUMMYFUNCTION("""COMPUTED_VALUE"""),"Jah")</f>
        <v>Jah</v>
      </c>
      <c r="Y19" s="68" t="str">
        <f>IFERROR(__xludf.DUMMYFUNCTION("""COMPUTED_VALUE"""),"Tänaval")</f>
        <v>Tänaval</v>
      </c>
      <c r="Z19" s="68" t="str">
        <f>IFERROR(__xludf.DUMMYFUNCTION("""COMPUTED_VALUE"""),"Puudub")</f>
        <v>Puudub</v>
      </c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</row>
    <row r="20">
      <c r="A20" s="68" t="str">
        <f>IFERROR(__xludf.DUMMYFUNCTION("""COMPUTED_VALUE"""),"Vanemuine Väike maja")</f>
        <v>Vanemuine Väike maja</v>
      </c>
      <c r="B20" s="68" t="str">
        <f>IFERROR(__xludf.DUMMYFUNCTION("""COMPUTED_VALUE"""),"Tartu linn")</f>
        <v>Tartu linn</v>
      </c>
      <c r="C20" s="68" t="str">
        <f>IFERROR(__xludf.DUMMYFUNCTION("""COMPUTED_VALUE"""),"Teater")</f>
        <v>Teater</v>
      </c>
      <c r="D20" s="69" t="str">
        <f>IFERROR(__xludf.DUMMYFUNCTION("""COMPUTED_VALUE"""),"www.vanemuine.ee/teatrimajad/vanemuise-vaike-maja/")</f>
        <v>www.vanemuine.ee/teatrimajad/vanemuise-vaike-maja/</v>
      </c>
      <c r="E20" s="68" t="str">
        <f>IFERROR(__xludf.DUMMYFUNCTION("""COMPUTED_VALUE"""),"744 0170")</f>
        <v>744 0170</v>
      </c>
      <c r="F20" s="68" t="str">
        <f>IFERROR(__xludf.DUMMYFUNCTION("""COMPUTED_VALUE"""),"erik.makarov@vanemuine.ee")</f>
        <v>erik.makarov@vanemuine.ee</v>
      </c>
      <c r="G20" s="68" t="str">
        <f>IFERROR(__xludf.DUMMYFUNCTION("""COMPUTED_VALUE"""),"Erik Makarov")</f>
        <v>Erik Makarov</v>
      </c>
      <c r="H20" s="68" t="str">
        <f>IFERROR(__xludf.DUMMYFUNCTION("""COMPUTED_VALUE"""),"Vanemuise 45a, 51003")</f>
        <v>Vanemuise 45a, 51003</v>
      </c>
      <c r="I20" s="68" t="str">
        <f>IFERROR(__xludf.DUMMYFUNCTION("""COMPUTED_VALUE"""),"600+")</f>
        <v>600+</v>
      </c>
      <c r="J20" s="68" t="str">
        <f>IFERROR(__xludf.DUMMYFUNCTION("""COMPUTED_VALUE"""),"Jah")</f>
        <v>Jah</v>
      </c>
      <c r="K20" s="68" t="str">
        <f>IFERROR(__xludf.DUMMYFUNCTION("""COMPUTED_VALUE"""),"Esimene")</f>
        <v>Esimene</v>
      </c>
      <c r="L20" s="68">
        <f>IFERROR(__xludf.DUMMYFUNCTION("""COMPUTED_VALUE"""),446.0)</f>
        <v>446</v>
      </c>
      <c r="M20" s="68" t="str">
        <f>IFERROR(__xludf.DUMMYFUNCTION("""COMPUTED_VALUE"""),"146m2")</f>
        <v>146m2</v>
      </c>
      <c r="N20" s="68">
        <f>IFERROR(__xludf.DUMMYFUNCTION("""COMPUTED_VALUE"""),50.0)</f>
        <v>50</v>
      </c>
      <c r="O20" s="68" t="str">
        <f>IFERROR(__xludf.DUMMYFUNCTION("""COMPUTED_VALUE"""),"Olemas")</f>
        <v>Olemas</v>
      </c>
      <c r="P20" s="68" t="str">
        <f>IFERROR(__xludf.DUMMYFUNCTION("""COMPUTED_VALUE"""),"OIemas")</f>
        <v>OIemas</v>
      </c>
      <c r="Q20" s="68" t="str">
        <f>IFERROR(__xludf.DUMMYFUNCTION("""COMPUTED_VALUE"""),"Olemas")</f>
        <v>Olemas</v>
      </c>
      <c r="R20" s="68"/>
      <c r="S20" s="68" t="str">
        <f>IFERROR(__xludf.DUMMYFUNCTION("""COMPUTED_VALUE"""),"Ei")</f>
        <v>Ei</v>
      </c>
      <c r="T20" s="68" t="str">
        <f>IFERROR(__xludf.DUMMYFUNCTION("""COMPUTED_VALUE"""),"Seintele riputamisvõimalus")</f>
        <v>Seintele riputamisvõimalus</v>
      </c>
      <c r="U20" s="68"/>
      <c r="V20" s="68" t="str">
        <f>IFERROR(__xludf.DUMMYFUNCTION("""COMPUTED_VALUE"""),"Jah")</f>
        <v>Jah</v>
      </c>
      <c r="W20" s="68" t="str">
        <f>IFERROR(__xludf.DUMMYFUNCTION("""COMPUTED_VALUE"""),"Jah")</f>
        <v>Jah</v>
      </c>
      <c r="X20" s="68" t="str">
        <f>IFERROR(__xludf.DUMMYFUNCTION("""COMPUTED_VALUE"""),"Jah")</f>
        <v>Jah</v>
      </c>
      <c r="Y20" s="68" t="str">
        <f>IFERROR(__xludf.DUMMYFUNCTION("""COMPUTED_VALUE"""),"Tänaval")</f>
        <v>Tänaval</v>
      </c>
      <c r="Z20" s="68" t="str">
        <f>IFERROR(__xludf.DUMMYFUNCTION("""COMPUTED_VALUE"""),"Puudub")</f>
        <v>Puudub</v>
      </c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</row>
    <row r="21">
      <c r="A21" s="68" t="str">
        <f>IFERROR(__xludf.DUMMYFUNCTION("""COMPUTED_VALUE"""),"Heino Elleri nimeline Tartu Muusikakool")</f>
        <v>Heino Elleri nimeline Tartu Muusikakool</v>
      </c>
      <c r="B21" s="68" t="str">
        <f>IFERROR(__xludf.DUMMYFUNCTION("""COMPUTED_VALUE"""),"Tartu linn")</f>
        <v>Tartu linn</v>
      </c>
      <c r="C21" s="68" t="str">
        <f>IFERROR(__xludf.DUMMYFUNCTION("""COMPUTED_VALUE"""),"Muusikakool")</f>
        <v>Muusikakool</v>
      </c>
      <c r="D21" s="69" t="str">
        <f>IFERROR(__xludf.DUMMYFUNCTION("""COMPUTED_VALUE"""),"www.tmk.ee")</f>
        <v>www.tmk.ee</v>
      </c>
      <c r="E21" s="68" t="str">
        <f>IFERROR(__xludf.DUMMYFUNCTION("""COMPUTED_VALUE"""),"742 3705")</f>
        <v>742 3705</v>
      </c>
      <c r="F21" s="68" t="str">
        <f>IFERROR(__xludf.DUMMYFUNCTION("""COMPUTED_VALUE"""),"peeter.illak@tmk.ee")</f>
        <v>peeter.illak@tmk.ee</v>
      </c>
      <c r="G21" s="68" t="str">
        <f>IFERROR(__xludf.DUMMYFUNCTION("""COMPUTED_VALUE"""),"Peeter Illak")</f>
        <v>Peeter Illak</v>
      </c>
      <c r="H21" s="68" t="str">
        <f>IFERROR(__xludf.DUMMYFUNCTION("""COMPUTED_VALUE"""),"Lossi 15, 51003")</f>
        <v>Lossi 15, 51003</v>
      </c>
      <c r="I21" s="68" t="str">
        <f>IFERROR(__xludf.DUMMYFUNCTION("""COMPUTED_VALUE"""),"300+")</f>
        <v>300+</v>
      </c>
      <c r="J21" s="68" t="str">
        <f>IFERROR(__xludf.DUMMYFUNCTION("""COMPUTED_VALUE"""),"Jah")</f>
        <v>Jah</v>
      </c>
      <c r="K21" s="68" t="str">
        <f>IFERROR(__xludf.DUMMYFUNCTION("""COMPUTED_VALUE"""),"Esimene")</f>
        <v>Esimene</v>
      </c>
      <c r="L21" s="68">
        <f>IFERROR(__xludf.DUMMYFUNCTION("""COMPUTED_VALUE"""),230.0)</f>
        <v>230</v>
      </c>
      <c r="M21" s="68" t="str">
        <f>IFERROR(__xludf.DUMMYFUNCTION("""COMPUTED_VALUE"""),"20x8m")</f>
        <v>20x8m</v>
      </c>
      <c r="N21" s="68">
        <f>IFERROR(__xludf.DUMMYFUNCTION("""COMPUTED_VALUE"""),70.0)</f>
        <v>70</v>
      </c>
      <c r="O21" s="68" t="str">
        <f>IFERROR(__xludf.DUMMYFUNCTION("""COMPUTED_VALUE"""),"Olemas")</f>
        <v>Olemas</v>
      </c>
      <c r="P21" s="68" t="str">
        <f>IFERROR(__xludf.DUMMYFUNCTION("""COMPUTED_VALUE"""),"OIemas")</f>
        <v>OIemas</v>
      </c>
      <c r="Q21" s="68" t="str">
        <f>IFERROR(__xludf.DUMMYFUNCTION("""COMPUTED_VALUE"""),"Olemas")</f>
        <v>Olemas</v>
      </c>
      <c r="R21" s="68"/>
      <c r="S21" s="68" t="str">
        <f>IFERROR(__xludf.DUMMYFUNCTION("""COMPUTED_VALUE"""),"Jah")</f>
        <v>Jah</v>
      </c>
      <c r="T21" s="68" t="str">
        <f>IFERROR(__xludf.DUMMYFUNCTION("""COMPUTED_VALUE"""),"Seintele riputamisvõimalus")</f>
        <v>Seintele riputamisvõimalus</v>
      </c>
      <c r="U21" s="68"/>
      <c r="V21" s="68" t="str">
        <f>IFERROR(__xludf.DUMMYFUNCTION("""COMPUTED_VALUE"""),"Jah")</f>
        <v>Jah</v>
      </c>
      <c r="W21" s="68" t="str">
        <f>IFERROR(__xludf.DUMMYFUNCTION("""COMPUTED_VALUE"""),"Jah")</f>
        <v>Jah</v>
      </c>
      <c r="X21" s="68" t="str">
        <f>IFERROR(__xludf.DUMMYFUNCTION("""COMPUTED_VALUE"""),"Jah")</f>
        <v>Jah</v>
      </c>
      <c r="Y21" s="68" t="str">
        <f>IFERROR(__xludf.DUMMYFUNCTION("""COMPUTED_VALUE"""),"Tänaval")</f>
        <v>Tänaval</v>
      </c>
      <c r="Z21" s="68" t="str">
        <f>IFERROR(__xludf.DUMMYFUNCTION("""COMPUTED_VALUE"""),"Puudub")</f>
        <v>Puudub</v>
      </c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</row>
    <row r="22">
      <c r="A22" s="68" t="str">
        <f>IFERROR(__xludf.DUMMYFUNCTION("""COMPUTED_VALUE"""),"Tartu II Muusikakool")</f>
        <v>Tartu II Muusikakool</v>
      </c>
      <c r="B22" s="68" t="str">
        <f>IFERROR(__xludf.DUMMYFUNCTION("""COMPUTED_VALUE"""),"Tartu linn")</f>
        <v>Tartu linn</v>
      </c>
      <c r="C22" s="68" t="str">
        <f>IFERROR(__xludf.DUMMYFUNCTION("""COMPUTED_VALUE"""),"Muusikakool")</f>
        <v>Muusikakool</v>
      </c>
      <c r="D22" s="69" t="str">
        <f>IFERROR(__xludf.DUMMYFUNCTION("""COMPUTED_VALUE"""),"www.tmk2.tartu.ee")</f>
        <v>www.tmk2.tartu.ee</v>
      </c>
      <c r="E22" s="68" t="str">
        <f>IFERROR(__xludf.DUMMYFUNCTION("""COMPUTED_VALUE"""),"7406 1709")</f>
        <v>7406 1709</v>
      </c>
      <c r="F22" s="68" t="str">
        <f>IFERROR(__xludf.DUMMYFUNCTION("""COMPUTED_VALUE"""),"tmuusikakool@gmail.com")</f>
        <v>tmuusikakool@gmail.com</v>
      </c>
      <c r="G22" s="68" t="str">
        <f>IFERROR(__xludf.DUMMYFUNCTION("""COMPUTED_VALUE"""),"Aare Zeiger")</f>
        <v>Aare Zeiger</v>
      </c>
      <c r="H22" s="68" t="str">
        <f>IFERROR(__xludf.DUMMYFUNCTION("""COMPUTED_VALUE"""),"Kaunase pst 23, 50706")</f>
        <v>Kaunase pst 23, 50706</v>
      </c>
      <c r="I22" s="68" t="str">
        <f>IFERROR(__xludf.DUMMYFUNCTION("""COMPUTED_VALUE"""),"100+")</f>
        <v>100+</v>
      </c>
      <c r="J22" s="68" t="str">
        <f>IFERROR(__xludf.DUMMYFUNCTION("""COMPUTED_VALUE"""),"Jah")</f>
        <v>Jah</v>
      </c>
      <c r="K22" s="68" t="str">
        <f>IFERROR(__xludf.DUMMYFUNCTION("""COMPUTED_VALUE"""),"Teine")</f>
        <v>Teine</v>
      </c>
      <c r="L22" s="68">
        <f>IFERROR(__xludf.DUMMYFUNCTION("""COMPUTED_VALUE"""),100.0)</f>
        <v>100</v>
      </c>
      <c r="M22" s="68"/>
      <c r="N22" s="68"/>
      <c r="O22" s="68" t="str">
        <f>IFERROR(__xludf.DUMMYFUNCTION("""COMPUTED_VALUE"""),"Olemas")</f>
        <v>Olemas</v>
      </c>
      <c r="P22" s="68" t="str">
        <f>IFERROR(__xludf.DUMMYFUNCTION("""COMPUTED_VALUE"""),"Puuduvad")</f>
        <v>Puuduvad</v>
      </c>
      <c r="Q22" s="68" t="str">
        <f>IFERROR(__xludf.DUMMYFUNCTION("""COMPUTED_VALUE"""),"Olemas")</f>
        <v>Olemas</v>
      </c>
      <c r="R22" s="68"/>
      <c r="S22" s="68" t="str">
        <f>IFERROR(__xludf.DUMMYFUNCTION("""COMPUTED_VALUE"""),"Ei")</f>
        <v>Ei</v>
      </c>
      <c r="T22" s="68" t="str">
        <f>IFERROR(__xludf.DUMMYFUNCTION("""COMPUTED_VALUE"""),"Seintele riputamisvõimalus")</f>
        <v>Seintele riputamisvõimalus</v>
      </c>
      <c r="U22" s="68"/>
      <c r="V22" s="68" t="str">
        <f>IFERROR(__xludf.DUMMYFUNCTION("""COMPUTED_VALUE"""),"Ei")</f>
        <v>Ei</v>
      </c>
      <c r="W22" s="68" t="str">
        <f>IFERROR(__xludf.DUMMYFUNCTION("""COMPUTED_VALUE"""),"Jah")</f>
        <v>Jah</v>
      </c>
      <c r="X22" s="68" t="str">
        <f>IFERROR(__xludf.DUMMYFUNCTION("""COMPUTED_VALUE"""),"Jah")</f>
        <v>Jah</v>
      </c>
      <c r="Y22" s="68" t="str">
        <f>IFERROR(__xludf.DUMMYFUNCTION("""COMPUTED_VALUE"""),"Tänaval")</f>
        <v>Tänaval</v>
      </c>
      <c r="Z22" s="68" t="str">
        <f>IFERROR(__xludf.DUMMYFUNCTION("""COMPUTED_VALUE"""),"Puudub")</f>
        <v>Puudub</v>
      </c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</row>
    <row r="23">
      <c r="A23" s="68" t="str">
        <f>IFERROR(__xludf.DUMMYFUNCTION("""COMPUTED_VALUE"""),"19. sajandi Tartu linnakodaniku muuseum (Tartu Linnamuuseumi filiaal)")</f>
        <v>19. sajandi Tartu linnakodaniku muuseum (Tartu Linnamuuseumi filiaal)</v>
      </c>
      <c r="B23" s="68" t="str">
        <f>IFERROR(__xludf.DUMMYFUNCTION("""COMPUTED_VALUE"""),"Tartu linn")</f>
        <v>Tartu linn</v>
      </c>
      <c r="C23" s="68" t="str">
        <f>IFERROR(__xludf.DUMMYFUNCTION("""COMPUTED_VALUE"""),"Muuseum")</f>
        <v>Muuseum</v>
      </c>
      <c r="D23" s="69" t="str">
        <f>IFERROR(__xludf.DUMMYFUNCTION("""COMPUTED_VALUE"""),"www.muuseum.tartu.ee/19-sajandi-linnakodaniku-muuseum/")</f>
        <v>www.muuseum.tartu.ee/19-sajandi-linnakodaniku-muuseum/</v>
      </c>
      <c r="E23" s="68" t="str">
        <f>IFERROR(__xludf.DUMMYFUNCTION("""COMPUTED_VALUE"""),"736 1545")</f>
        <v>736 1545</v>
      </c>
      <c r="F23" s="68" t="str">
        <f>IFERROR(__xludf.DUMMYFUNCTION("""COMPUTED_VALUE"""),"linnakodanik@muuseum.tartu.ee")</f>
        <v>linnakodanik@muuseum.tartu.ee</v>
      </c>
      <c r="G23" s="68" t="str">
        <f>IFERROR(__xludf.DUMMYFUNCTION("""COMPUTED_VALUE"""),"Kristi Musteikis ")</f>
        <v>Kristi Musteikis </v>
      </c>
      <c r="H23" s="68" t="str">
        <f>IFERROR(__xludf.DUMMYFUNCTION("""COMPUTED_VALUE"""),"Jaani 16, 51005 ")</f>
        <v>Jaani 16, 51005 </v>
      </c>
      <c r="I23" s="68" t="str">
        <f>IFERROR(__xludf.DUMMYFUNCTION("""COMPUTED_VALUE"""),"30")</f>
        <v>30</v>
      </c>
      <c r="J23" s="68" t="str">
        <f>IFERROR(__xludf.DUMMYFUNCTION("""COMPUTED_VALUE"""),"Jah")</f>
        <v>Jah</v>
      </c>
      <c r="K23" s="68" t="str">
        <f>IFERROR(__xludf.DUMMYFUNCTION("""COMPUTED_VALUE"""),"Esimene")</f>
        <v>Esimene</v>
      </c>
      <c r="L23" s="68">
        <f>IFERROR(__xludf.DUMMYFUNCTION("""COMPUTED_VALUE"""),15.0)</f>
        <v>15</v>
      </c>
      <c r="M23" s="68"/>
      <c r="N23" s="68"/>
      <c r="O23" s="68" t="str">
        <f>IFERROR(__xludf.DUMMYFUNCTION("""COMPUTED_VALUE"""),"Puuduvad")</f>
        <v>Puuduvad</v>
      </c>
      <c r="P23" s="68" t="str">
        <f>IFERROR(__xludf.DUMMYFUNCTION("""COMPUTED_VALUE"""),"Puuduvad")</f>
        <v>Puuduvad</v>
      </c>
      <c r="Q23" s="68" t="str">
        <f>IFERROR(__xludf.DUMMYFUNCTION("""COMPUTED_VALUE"""),"Olemas")</f>
        <v>Olemas</v>
      </c>
      <c r="R23" s="68" t="str">
        <f>IFERROR(__xludf.DUMMYFUNCTION("""COMPUTED_VALUE"""),"2x2m")</f>
        <v>2x2m</v>
      </c>
      <c r="S23" s="68" t="str">
        <f>IFERROR(__xludf.DUMMYFUNCTION("""COMPUTED_VALUE"""),"Ei")</f>
        <v>Ei</v>
      </c>
      <c r="T23" s="68" t="str">
        <f>IFERROR(__xludf.DUMMYFUNCTION("""COMPUTED_VALUE"""),"Ei")</f>
        <v>Ei</v>
      </c>
      <c r="U23" s="68"/>
      <c r="V23" s="68" t="str">
        <f>IFERROR(__xludf.DUMMYFUNCTION("""COMPUTED_VALUE"""),"Ei")</f>
        <v>Ei</v>
      </c>
      <c r="W23" s="68" t="str">
        <f>IFERROR(__xludf.DUMMYFUNCTION("""COMPUTED_VALUE"""),"Jah")</f>
        <v>Jah</v>
      </c>
      <c r="X23" s="68" t="str">
        <f>IFERROR(__xludf.DUMMYFUNCTION("""COMPUTED_VALUE"""),"Jah")</f>
        <v>Jah</v>
      </c>
      <c r="Y23" s="68" t="str">
        <f>IFERROR(__xludf.DUMMYFUNCTION("""COMPUTED_VALUE"""),"Tänaval")</f>
        <v>Tänaval</v>
      </c>
      <c r="Z23" s="68" t="str">
        <f>IFERROR(__xludf.DUMMYFUNCTION("""COMPUTED_VALUE"""),"Sisehoov")</f>
        <v>Sisehoov</v>
      </c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</row>
    <row r="24">
      <c r="A24" s="68" t="str">
        <f>IFERROR(__xludf.DUMMYFUNCTION("""COMPUTED_VALUE"""),"A Le Coq Tartu Õllemuuseum (eramuuseum)")</f>
        <v>A Le Coq Tartu Õllemuuseum (eramuuseum)</v>
      </c>
      <c r="B24" s="68" t="str">
        <f>IFERROR(__xludf.DUMMYFUNCTION("""COMPUTED_VALUE"""),"Tartu linn")</f>
        <v>Tartu linn</v>
      </c>
      <c r="C24" s="68" t="str">
        <f>IFERROR(__xludf.DUMMYFUNCTION("""COMPUTED_VALUE"""),"Muuseum")</f>
        <v>Muuseum</v>
      </c>
      <c r="D24" s="69" t="str">
        <f>IFERROR(__xludf.DUMMYFUNCTION("""COMPUTED_VALUE"""),"https://www.alecoq.ee/ollemuuseum/muuseum/")</f>
        <v>https://www.alecoq.ee/ollemuuseum/muuseum/</v>
      </c>
      <c r="E24" s="68" t="str">
        <f>IFERROR(__xludf.DUMMYFUNCTION("""COMPUTED_VALUE"""),"744 9713")</f>
        <v>744 9713</v>
      </c>
      <c r="F24" s="68" t="str">
        <f>IFERROR(__xludf.DUMMYFUNCTION("""COMPUTED_VALUE"""),"muuseum@alecoq.ee")</f>
        <v>muuseum@alecoq.ee</v>
      </c>
      <c r="G24" s="68" t="str">
        <f>IFERROR(__xludf.DUMMYFUNCTION("""COMPUTED_VALUE"""),"Mart Haldma")</f>
        <v>Mart Haldma</v>
      </c>
      <c r="H24" s="68" t="str">
        <f>IFERROR(__xludf.DUMMYFUNCTION("""COMPUTED_VALUE"""),"Laulupeo pst 15, 50050")</f>
        <v>Laulupeo pst 15, 50050</v>
      </c>
      <c r="I24" s="68"/>
      <c r="J24" s="68" t="str">
        <f>IFERROR(__xludf.DUMMYFUNCTION("""COMPUTED_VALUE"""),"Ei")</f>
        <v>Ei</v>
      </c>
      <c r="K24" s="68"/>
      <c r="L24" s="68"/>
      <c r="M24" s="68"/>
      <c r="N24" s="68"/>
      <c r="O24" s="68"/>
      <c r="P24" s="68"/>
      <c r="Q24" s="68"/>
      <c r="R24" s="68"/>
      <c r="S24" s="68" t="str">
        <f>IFERROR(__xludf.DUMMYFUNCTION("""COMPUTED_VALUE"""),"Ei")</f>
        <v>Ei</v>
      </c>
      <c r="T24" s="68" t="str">
        <f>IFERROR(__xludf.DUMMYFUNCTION("""COMPUTED_VALUE"""),"Seintele riputamisvõimalus")</f>
        <v>Seintele riputamisvõimalus</v>
      </c>
      <c r="U24" s="68"/>
      <c r="V24" s="68" t="str">
        <f>IFERROR(__xludf.DUMMYFUNCTION("""COMPUTED_VALUE"""),"Ei")</f>
        <v>Ei</v>
      </c>
      <c r="W24" s="68" t="str">
        <f>IFERROR(__xludf.DUMMYFUNCTION("""COMPUTED_VALUE"""),"Jah")</f>
        <v>Jah</v>
      </c>
      <c r="X24" s="68" t="str">
        <f>IFERROR(__xludf.DUMMYFUNCTION("""COMPUTED_VALUE"""),"Jah")</f>
        <v>Jah</v>
      </c>
      <c r="Y24" s="68" t="str">
        <f>IFERROR(__xludf.DUMMYFUNCTION("""COMPUTED_VALUE"""),"Parklas")</f>
        <v>Parklas</v>
      </c>
      <c r="Z24" s="68" t="str">
        <f>IFERROR(__xludf.DUMMYFUNCTION("""COMPUTED_VALUE"""),"Puudub")</f>
        <v>Puudub</v>
      </c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</row>
    <row r="25">
      <c r="A25" s="68" t="str">
        <f>IFERROR(__xludf.DUMMYFUNCTION("""COMPUTED_VALUE"""),"AHHAA Teaduskeskus")</f>
        <v>AHHAA Teaduskeskus</v>
      </c>
      <c r="B25" s="68" t="str">
        <f>IFERROR(__xludf.DUMMYFUNCTION("""COMPUTED_VALUE"""),"Tartu linn")</f>
        <v>Tartu linn</v>
      </c>
      <c r="C25" s="68" t="str">
        <f>IFERROR(__xludf.DUMMYFUNCTION("""COMPUTED_VALUE"""),"Elamuskeskus")</f>
        <v>Elamuskeskus</v>
      </c>
      <c r="D25" s="69" t="str">
        <f>IFERROR(__xludf.DUMMYFUNCTION("""COMPUTED_VALUE"""),"www.ahhaa.ee")</f>
        <v>www.ahhaa.ee</v>
      </c>
      <c r="E25" s="68" t="str">
        <f>IFERROR(__xludf.DUMMYFUNCTION("""COMPUTED_VALUE"""),"735 5095")</f>
        <v>735 5095</v>
      </c>
      <c r="F25" s="68" t="str">
        <f>IFERROR(__xludf.DUMMYFUNCTION("""COMPUTED_VALUE"""),"tellimus@ahhaa.ee")</f>
        <v>tellimus@ahhaa.ee</v>
      </c>
      <c r="G25" s="68" t="str">
        <f>IFERROR(__xludf.DUMMYFUNCTION("""COMPUTED_VALUE"""),"Meelika Peetsmann")</f>
        <v>Meelika Peetsmann</v>
      </c>
      <c r="H25" s="68" t="str">
        <f>IFERROR(__xludf.DUMMYFUNCTION("""COMPUTED_VALUE"""),"Sadama 1,51004")</f>
        <v>Sadama 1,51004</v>
      </c>
      <c r="I25" s="68" t="str">
        <f>IFERROR(__xludf.DUMMYFUNCTION("""COMPUTED_VALUE"""),"1000+")</f>
        <v>1000+</v>
      </c>
      <c r="J25" s="68" t="str">
        <f>IFERROR(__xludf.DUMMYFUNCTION("""COMPUTED_VALUE"""),"Jah")</f>
        <v>Jah</v>
      </c>
      <c r="K25" s="68" t="str">
        <f>IFERROR(__xludf.DUMMYFUNCTION("""COMPUTED_VALUE"""),"Esimene")</f>
        <v>Esimene</v>
      </c>
      <c r="L25" s="68">
        <f>IFERROR(__xludf.DUMMYFUNCTION("""COMPUTED_VALUE"""),700.0)</f>
        <v>700</v>
      </c>
      <c r="M25" s="68"/>
      <c r="N25" s="68">
        <f>IFERROR(__xludf.DUMMYFUNCTION("""COMPUTED_VALUE"""),150.0)</f>
        <v>150</v>
      </c>
      <c r="O25" s="68" t="str">
        <f>IFERROR(__xludf.DUMMYFUNCTION("""COMPUTED_VALUE"""),"Olemas")</f>
        <v>Olemas</v>
      </c>
      <c r="P25" s="68" t="str">
        <f>IFERROR(__xludf.DUMMYFUNCTION("""COMPUTED_VALUE"""),"Olemnas")</f>
        <v>Olemnas</v>
      </c>
      <c r="Q25" s="68" t="str">
        <f>IFERROR(__xludf.DUMMYFUNCTION("""COMPUTED_VALUE"""),"Olemas")</f>
        <v>Olemas</v>
      </c>
      <c r="R25" s="68"/>
      <c r="S25" s="68" t="str">
        <f>IFERROR(__xludf.DUMMYFUNCTION("""COMPUTED_VALUE"""),"Jah")</f>
        <v>Jah</v>
      </c>
      <c r="T25" s="68" t="str">
        <f>IFERROR(__xludf.DUMMYFUNCTION("""COMPUTED_VALUE"""),"Seintele riputamisvõimalus")</f>
        <v>Seintele riputamisvõimalus</v>
      </c>
      <c r="U25" s="68"/>
      <c r="V25" s="68" t="str">
        <f>IFERROR(__xludf.DUMMYFUNCTION("""COMPUTED_VALUE"""),"Jah")</f>
        <v>Jah</v>
      </c>
      <c r="W25" s="68" t="str">
        <f>IFERROR(__xludf.DUMMYFUNCTION("""COMPUTED_VALUE"""),"Jah")</f>
        <v>Jah</v>
      </c>
      <c r="X25" s="68" t="str">
        <f>IFERROR(__xludf.DUMMYFUNCTION("""COMPUTED_VALUE"""),"Jah")</f>
        <v>Jah</v>
      </c>
      <c r="Y25" s="68" t="str">
        <f>IFERROR(__xludf.DUMMYFUNCTION("""COMPUTED_VALUE"""),"Parkla")</f>
        <v>Parkla</v>
      </c>
      <c r="Z25" s="68" t="str">
        <f>IFERROR(__xludf.DUMMYFUNCTION("""COMPUTED_VALUE"""),"Puudub")</f>
        <v>Puudub</v>
      </c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</row>
    <row r="26">
      <c r="A26" s="68" t="str">
        <f>IFERROR(__xludf.DUMMYFUNCTION("""COMPUTED_VALUE"""),"Tartu Tähetorn (Tartu Ülikooli muuseumi allasutus)")</f>
        <v>Tartu Tähetorn (Tartu Ülikooli muuseumi allasutus)</v>
      </c>
      <c r="B26" s="68" t="str">
        <f>IFERROR(__xludf.DUMMYFUNCTION("""COMPUTED_VALUE"""),"Tartu linn")</f>
        <v>Tartu linn</v>
      </c>
      <c r="C26" s="68" t="str">
        <f>IFERROR(__xludf.DUMMYFUNCTION("""COMPUTED_VALUE"""),"Muuseum")</f>
        <v>Muuseum</v>
      </c>
      <c r="D26" s="69" t="str">
        <f>IFERROR(__xludf.DUMMYFUNCTION("""COMPUTED_VALUE"""),"www.tahetorn.ut.ee")</f>
        <v>www.tahetorn.ut.ee</v>
      </c>
      <c r="E26" s="68" t="str">
        <f>IFERROR(__xludf.DUMMYFUNCTION("""COMPUTED_VALUE"""),"737 6932")</f>
        <v>737 6932</v>
      </c>
      <c r="F26" s="68" t="str">
        <f>IFERROR(__xludf.DUMMYFUNCTION("""COMPUTED_VALUE"""),"tahetorn@ut.ee")</f>
        <v>tahetorn@ut.ee</v>
      </c>
      <c r="G26" s="68" t="str">
        <f>IFERROR(__xludf.DUMMYFUNCTION("""COMPUTED_VALUE"""),"Mari-Liis Madisson")</f>
        <v>Mari-Liis Madisson</v>
      </c>
      <c r="H26" s="68" t="str">
        <f>IFERROR(__xludf.DUMMYFUNCTION("""COMPUTED_VALUE"""),"Uppsala 8, 51003")</f>
        <v>Uppsala 8, 51003</v>
      </c>
      <c r="I26" s="68" t="str">
        <f>IFERROR(__xludf.DUMMYFUNCTION("""COMPUTED_VALUE"""),"80+")</f>
        <v>80+</v>
      </c>
      <c r="J26" s="68" t="str">
        <f>IFERROR(__xludf.DUMMYFUNCTION("""COMPUTED_VALUE"""),"Jah")</f>
        <v>Jah</v>
      </c>
      <c r="K26" s="68" t="str">
        <f>IFERROR(__xludf.DUMMYFUNCTION("""COMPUTED_VALUE"""),"Esimene")</f>
        <v>Esimene</v>
      </c>
      <c r="L26" s="68">
        <f>IFERROR(__xludf.DUMMYFUNCTION("""COMPUTED_VALUE"""),50.0)</f>
        <v>50</v>
      </c>
      <c r="M26" s="68"/>
      <c r="N26" s="68">
        <f>IFERROR(__xludf.DUMMYFUNCTION("""COMPUTED_VALUE"""),15.0)</f>
        <v>15</v>
      </c>
      <c r="O26" s="68" t="str">
        <f>IFERROR(__xludf.DUMMYFUNCTION("""COMPUTED_VALUE"""),"Olemas")</f>
        <v>Olemas</v>
      </c>
      <c r="P26" s="68" t="str">
        <f>IFERROR(__xludf.DUMMYFUNCTION("""COMPUTED_VALUE"""),"Puuduvad")</f>
        <v>Puuduvad</v>
      </c>
      <c r="Q26" s="68" t="str">
        <f>IFERROR(__xludf.DUMMYFUNCTION("""COMPUTED_VALUE"""),"Olemas")</f>
        <v>Olemas</v>
      </c>
      <c r="R26" s="68"/>
      <c r="S26" s="68" t="str">
        <f>IFERROR(__xludf.DUMMYFUNCTION("""COMPUTED_VALUE"""),"Jah")</f>
        <v>Jah</v>
      </c>
      <c r="T26" s="68" t="str">
        <f>IFERROR(__xludf.DUMMYFUNCTION("""COMPUTED_VALUE"""),"Seintele riputamisvõimalus")</f>
        <v>Seintele riputamisvõimalus</v>
      </c>
      <c r="U26" s="68"/>
      <c r="V26" s="68" t="str">
        <f>IFERROR(__xludf.DUMMYFUNCTION("""COMPUTED_VALUE"""),"Jah")</f>
        <v>Jah</v>
      </c>
      <c r="W26" s="68" t="str">
        <f>IFERROR(__xludf.DUMMYFUNCTION("""COMPUTED_VALUE"""),"Jah")</f>
        <v>Jah</v>
      </c>
      <c r="X26" s="68" t="str">
        <f>IFERROR(__xludf.DUMMYFUNCTION("""COMPUTED_VALUE"""),"jah")</f>
        <v>jah</v>
      </c>
      <c r="Y26" s="68" t="str">
        <f>IFERROR(__xludf.DUMMYFUNCTION("""COMPUTED_VALUE"""),"Parkla")</f>
        <v>Parkla</v>
      </c>
      <c r="Z26" s="68" t="str">
        <f>IFERROR(__xludf.DUMMYFUNCTION("""COMPUTED_VALUE"""),"Maja ümbruses")</f>
        <v>Maja ümbruses</v>
      </c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</row>
    <row r="27">
      <c r="A27" s="68" t="str">
        <f>IFERROR(__xludf.DUMMYFUNCTION("""COMPUTED_VALUE"""),"Baeri muuseum")</f>
        <v>Baeri muuseum</v>
      </c>
      <c r="B27" s="68" t="str">
        <f>IFERROR(__xludf.DUMMYFUNCTION("""COMPUTED_VALUE"""),"Tartu linn")</f>
        <v>Tartu linn</v>
      </c>
      <c r="C27" s="68" t="str">
        <f>IFERROR(__xludf.DUMMYFUNCTION("""COMPUTED_VALUE"""),"Muuseum")</f>
        <v>Muuseum</v>
      </c>
      <c r="D27" s="69" t="str">
        <f>IFERROR(__xludf.DUMMYFUNCTION("""COMPUTED_VALUE"""),"http://www.zbi.ee/baer/")</f>
        <v>http://www.zbi.ee/baer/</v>
      </c>
      <c r="E27" s="68" t="str">
        <f>IFERROR(__xludf.DUMMYFUNCTION("""COMPUTED_VALUE"""),"738 3013")</f>
        <v>738 3013</v>
      </c>
      <c r="F27" s="68" t="str">
        <f>IFERROR(__xludf.DUMMYFUNCTION("""COMPUTED_VALUE"""),"erki@zbi.ee")</f>
        <v>erki@zbi.ee</v>
      </c>
      <c r="G27" s="68" t="str">
        <f>IFERROR(__xludf.DUMMYFUNCTION("""COMPUTED_VALUE"""),"Erki Tammiksaar")</f>
        <v>Erki Tammiksaar</v>
      </c>
      <c r="H27" s="68" t="str">
        <f>IFERROR(__xludf.DUMMYFUNCTION("""COMPUTED_VALUE"""),"Veski 4, 51005")</f>
        <v>Veski 4, 51005</v>
      </c>
      <c r="I27" s="68" t="str">
        <f>IFERROR(__xludf.DUMMYFUNCTION("""COMPUTED_VALUE"""),"30")</f>
        <v>30</v>
      </c>
      <c r="J27" s="68" t="str">
        <f>IFERROR(__xludf.DUMMYFUNCTION("""COMPUTED_VALUE"""),"Jah")</f>
        <v>Jah</v>
      </c>
      <c r="K27" s="68" t="str">
        <f>IFERROR(__xludf.DUMMYFUNCTION("""COMPUTED_VALUE"""),"Esimene")</f>
        <v>Esimene</v>
      </c>
      <c r="L27" s="68">
        <f>IFERROR(__xludf.DUMMYFUNCTION("""COMPUTED_VALUE"""),15.0)</f>
        <v>15</v>
      </c>
      <c r="M27" s="68"/>
      <c r="N27" s="68"/>
      <c r="O27" s="68" t="str">
        <f>IFERROR(__xludf.DUMMYFUNCTION("""COMPUTED_VALUE"""),"Puuduvad")</f>
        <v>Puuduvad</v>
      </c>
      <c r="P27" s="68" t="str">
        <f>IFERROR(__xludf.DUMMYFUNCTION("""COMPUTED_VALUE"""),"Puuduvad")</f>
        <v>Puuduvad</v>
      </c>
      <c r="Q27" s="68" t="str">
        <f>IFERROR(__xludf.DUMMYFUNCTION("""COMPUTED_VALUE"""),"Olems")</f>
        <v>Olems</v>
      </c>
      <c r="R27" s="68"/>
      <c r="S27" s="68" t="str">
        <f>IFERROR(__xludf.DUMMYFUNCTION("""COMPUTED_VALUE"""),"Ei")</f>
        <v>Ei</v>
      </c>
      <c r="T27" s="68" t="str">
        <f>IFERROR(__xludf.DUMMYFUNCTION("""COMPUTED_VALUE"""),"Seintele riputamisvõimalus")</f>
        <v>Seintele riputamisvõimalus</v>
      </c>
      <c r="U27" s="68"/>
      <c r="V27" s="68" t="str">
        <f>IFERROR(__xludf.DUMMYFUNCTION("""COMPUTED_VALUE"""),"Ei")</f>
        <v>Ei</v>
      </c>
      <c r="W27" s="68" t="str">
        <f>IFERROR(__xludf.DUMMYFUNCTION("""COMPUTED_VALUE"""),"Jah")</f>
        <v>Jah</v>
      </c>
      <c r="X27" s="68" t="str">
        <f>IFERROR(__xludf.DUMMYFUNCTION("""COMPUTED_VALUE"""),"Jah")</f>
        <v>Jah</v>
      </c>
      <c r="Y27" s="68" t="str">
        <f>IFERROR(__xludf.DUMMYFUNCTION("""COMPUTED_VALUE"""),"Parkla")</f>
        <v>Parkla</v>
      </c>
      <c r="Z27" s="68" t="str">
        <f>IFERROR(__xludf.DUMMYFUNCTION("""COMPUTED_VALUE"""),"Aed")</f>
        <v>Aed</v>
      </c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>
      <c r="A28" s="68" t="str">
        <f>IFERROR(__xludf.DUMMYFUNCTION("""COMPUTED_VALUE"""),"Eesti Kirjandusmuuseum (teadusasutus, mitte klassikaline muuseum)")</f>
        <v>Eesti Kirjandusmuuseum (teadusasutus, mitte klassikaline muuseum)</v>
      </c>
      <c r="B28" s="68" t="str">
        <f>IFERROR(__xludf.DUMMYFUNCTION("""COMPUTED_VALUE"""),"Tartu linn")</f>
        <v>Tartu linn</v>
      </c>
      <c r="C28" s="68" t="str">
        <f>IFERROR(__xludf.DUMMYFUNCTION("""COMPUTED_VALUE"""),"Muuseum")</f>
        <v>Muuseum</v>
      </c>
      <c r="D28" s="69" t="str">
        <f>IFERROR(__xludf.DUMMYFUNCTION("""COMPUTED_VALUE"""),"www.kirmus.ee")</f>
        <v>www.kirmus.ee</v>
      </c>
      <c r="E28" s="68" t="str">
        <f>IFERROR(__xludf.DUMMYFUNCTION("""COMPUTED_VALUE"""),"737 7700")</f>
        <v>737 7700</v>
      </c>
      <c r="F28" s="68" t="str">
        <f>IFERROR(__xludf.DUMMYFUNCTION("""COMPUTED_VALUE"""),"kirmus@kirmus.ee")</f>
        <v>kirmus@kirmus.ee</v>
      </c>
      <c r="G28" s="68" t="str">
        <f>IFERROR(__xludf.DUMMYFUNCTION("""COMPUTED_VALUE"""),"Margus Peet")</f>
        <v>Margus Peet</v>
      </c>
      <c r="H28" s="68" t="str">
        <f>IFERROR(__xludf.DUMMYFUNCTION("""COMPUTED_VALUE"""),"Vanemuise 42, 51003")</f>
        <v>Vanemuise 42, 51003</v>
      </c>
      <c r="I28" s="68" t="str">
        <f>IFERROR(__xludf.DUMMYFUNCTION("""COMPUTED_VALUE"""),"150+")</f>
        <v>150+</v>
      </c>
      <c r="J28" s="68" t="str">
        <f>IFERROR(__xludf.DUMMYFUNCTION("""COMPUTED_VALUE"""),"Jah")</f>
        <v>Jah</v>
      </c>
      <c r="K28" s="68" t="str">
        <f>IFERROR(__xludf.DUMMYFUNCTION("""COMPUTED_VALUE"""),"Teine")</f>
        <v>Teine</v>
      </c>
      <c r="L28" s="68">
        <f>IFERROR(__xludf.DUMMYFUNCTION("""COMPUTED_VALUE"""),100.0)</f>
        <v>100</v>
      </c>
      <c r="M28" s="68" t="str">
        <f>IFERROR(__xludf.DUMMYFUNCTION("""COMPUTED_VALUE"""),"8x5m")</f>
        <v>8x5m</v>
      </c>
      <c r="N28" s="68">
        <f>IFERROR(__xludf.DUMMYFUNCTION("""COMPUTED_VALUE"""),14.0)</f>
        <v>14</v>
      </c>
      <c r="O28" s="68" t="str">
        <f>IFERROR(__xludf.DUMMYFUNCTION("""COMPUTED_VALUE"""),"Olemas")</f>
        <v>Olemas</v>
      </c>
      <c r="P28" s="68" t="str">
        <f>IFERROR(__xludf.DUMMYFUNCTION("""COMPUTED_VALUE"""),"Puuduvad")</f>
        <v>Puuduvad</v>
      </c>
      <c r="Q28" s="68" t="str">
        <f>IFERROR(__xludf.DUMMYFUNCTION("""COMPUTED_VALUE"""),"Olemas")</f>
        <v>Olemas</v>
      </c>
      <c r="R28" s="68"/>
      <c r="S28" s="68" t="str">
        <f>IFERROR(__xludf.DUMMYFUNCTION("""COMPUTED_VALUE"""),"Jah")</f>
        <v>Jah</v>
      </c>
      <c r="T28" s="68" t="str">
        <f>IFERROR(__xludf.DUMMYFUNCTION("""COMPUTED_VALUE"""),"Seintele riputamisvõimalus")</f>
        <v>Seintele riputamisvõimalus</v>
      </c>
      <c r="U28" s="68"/>
      <c r="V28" s="68" t="str">
        <f>IFERROR(__xludf.DUMMYFUNCTION("""COMPUTED_VALUE"""),"Ei")</f>
        <v>Ei</v>
      </c>
      <c r="W28" s="68" t="str">
        <f>IFERROR(__xludf.DUMMYFUNCTION("""COMPUTED_VALUE"""),"Jah")</f>
        <v>Jah</v>
      </c>
      <c r="X28" s="68" t="str">
        <f>IFERROR(__xludf.DUMMYFUNCTION("""COMPUTED_VALUE"""),"Jah")</f>
        <v>Jah</v>
      </c>
      <c r="Y28" s="68" t="str">
        <f>IFERROR(__xludf.DUMMYFUNCTION("""COMPUTED_VALUE"""),"Tänav/parkla")</f>
        <v>Tänav/parkla</v>
      </c>
      <c r="Z28" s="68" t="str">
        <f>IFERROR(__xludf.DUMMYFUNCTION("""COMPUTED_VALUE"""),"Puudub")</f>
        <v>Puudub</v>
      </c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</row>
    <row r="29">
      <c r="A29" s="68" t="str">
        <f>IFERROR(__xludf.DUMMYFUNCTION("""COMPUTED_VALUE"""),"Eesti Pimedate Muuseum (eramuuseum)")</f>
        <v>Eesti Pimedate Muuseum (eramuuseum)</v>
      </c>
      <c r="B29" s="68" t="str">
        <f>IFERROR(__xludf.DUMMYFUNCTION("""COMPUTED_VALUE"""),"Tartu linn")</f>
        <v>Tartu linn</v>
      </c>
      <c r="C29" s="68" t="str">
        <f>IFERROR(__xludf.DUMMYFUNCTION("""COMPUTED_VALUE"""),"Muuseum")</f>
        <v>Muuseum</v>
      </c>
      <c r="D29" s="68"/>
      <c r="E29" s="68"/>
      <c r="F29" s="68" t="str">
        <f>IFERROR(__xludf.DUMMYFUNCTION("""COMPUTED_VALUE"""),"aldo.kals@mail.ee")</f>
        <v>aldo.kals@mail.ee</v>
      </c>
      <c r="G29" s="68" t="str">
        <f>IFERROR(__xludf.DUMMYFUNCTION("""COMPUTED_VALUE"""),"Aldo Kals")</f>
        <v>Aldo Kals</v>
      </c>
      <c r="H29" s="68" t="str">
        <f>IFERROR(__xludf.DUMMYFUNCTION("""COMPUTED_VALUE"""),"Ringtee 1, 51013")</f>
        <v>Ringtee 1, 51013</v>
      </c>
      <c r="I29" s="68" t="str">
        <f>IFERROR(__xludf.DUMMYFUNCTION("""COMPUTED_VALUE"""),"25+")</f>
        <v>25+</v>
      </c>
      <c r="J29" s="68"/>
      <c r="K29" s="68"/>
      <c r="L29" s="68"/>
      <c r="M29" s="68"/>
      <c r="N29" s="68"/>
      <c r="O29" s="68" t="str">
        <f>IFERROR(__xludf.DUMMYFUNCTION("""COMPUTED_VALUE"""),"Puuduvad")</f>
        <v>Puuduvad</v>
      </c>
      <c r="P29" s="68" t="str">
        <f>IFERROR(__xludf.DUMMYFUNCTION("""COMPUTED_VALUE"""),"Puuduvad")</f>
        <v>Puuduvad</v>
      </c>
      <c r="Q29" s="68" t="str">
        <f>IFERROR(__xludf.DUMMYFUNCTION("""COMPUTED_VALUE"""),"Puuduvad")</f>
        <v>Puuduvad</v>
      </c>
      <c r="R29" s="68"/>
      <c r="S29" s="68" t="str">
        <f>IFERROR(__xludf.DUMMYFUNCTION("""COMPUTED_VALUE"""),"Ei")</f>
        <v>Ei</v>
      </c>
      <c r="T29" s="68" t="str">
        <f>IFERROR(__xludf.DUMMYFUNCTION("""COMPUTED_VALUE"""),"Seintele riputamisvõimalus")</f>
        <v>Seintele riputamisvõimalus</v>
      </c>
      <c r="U29" s="68"/>
      <c r="V29" s="68" t="str">
        <f>IFERROR(__xludf.DUMMYFUNCTION("""COMPUTED_VALUE"""),"Ei")</f>
        <v>Ei</v>
      </c>
      <c r="W29" s="68" t="str">
        <f>IFERROR(__xludf.DUMMYFUNCTION("""COMPUTED_VALUE"""),"Jah")</f>
        <v>Jah</v>
      </c>
      <c r="X29" s="68" t="str">
        <f>IFERROR(__xludf.DUMMYFUNCTION("""COMPUTED_VALUE"""),"Jah")</f>
        <v>Jah</v>
      </c>
      <c r="Y29" s="68" t="str">
        <f>IFERROR(__xludf.DUMMYFUNCTION("""COMPUTED_VALUE"""),"Parklas")</f>
        <v>Parklas</v>
      </c>
      <c r="Z29" s="68" t="str">
        <f>IFERROR(__xludf.DUMMYFUNCTION("""COMPUTED_VALUE"""),"Puudub")</f>
        <v>Puudub</v>
      </c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</row>
    <row r="30">
      <c r="A30" s="68" t="str">
        <f>IFERROR(__xludf.DUMMYFUNCTION("""COMPUTED_VALUE"""),"Eesti Rahva Muuseum")</f>
        <v>Eesti Rahva Muuseum</v>
      </c>
      <c r="B30" s="68" t="str">
        <f>IFERROR(__xludf.DUMMYFUNCTION("""COMPUTED_VALUE"""),"Tartu linn")</f>
        <v>Tartu linn</v>
      </c>
      <c r="C30" s="68" t="str">
        <f>IFERROR(__xludf.DUMMYFUNCTION("""COMPUTED_VALUE"""),"Muuseum")</f>
        <v>Muuseum</v>
      </c>
      <c r="D30" s="69" t="str">
        <f>IFERROR(__xludf.DUMMYFUNCTION("""COMPUTED_VALUE"""),"www.erm.ee ")</f>
        <v>www.erm.ee </v>
      </c>
      <c r="E30" s="68" t="str">
        <f>IFERROR(__xludf.DUMMYFUNCTION("""COMPUTED_VALUE"""),"736 3079")</f>
        <v>736 3079</v>
      </c>
      <c r="F30" s="68" t="str">
        <f>IFERROR(__xludf.DUMMYFUNCTION("""COMPUTED_VALUE"""),"teeninduskeskus@erm.ee")</f>
        <v>teeninduskeskus@erm.ee</v>
      </c>
      <c r="G30" s="68" t="str">
        <f>IFERROR(__xludf.DUMMYFUNCTION("""COMPUTED_VALUE"""),"Viljar Pohommov")</f>
        <v>Viljar Pohommov</v>
      </c>
      <c r="H30" s="68" t="str">
        <f>IFERROR(__xludf.DUMMYFUNCTION("""COMPUTED_VALUE"""),"Muuseumi tee 2, 60532")</f>
        <v>Muuseumi tee 2, 60532</v>
      </c>
      <c r="I30" s="68" t="str">
        <f>IFERROR(__xludf.DUMMYFUNCTION("""COMPUTED_VALUE"""),"1500+")</f>
        <v>1500+</v>
      </c>
      <c r="J30" s="68" t="str">
        <f>IFERROR(__xludf.DUMMYFUNCTION("""COMPUTED_VALUE"""),"Jah")</f>
        <v>Jah</v>
      </c>
      <c r="K30" s="68" t="str">
        <f>IFERROR(__xludf.DUMMYFUNCTION("""COMPUTED_VALUE"""),"Esimene")</f>
        <v>Esimene</v>
      </c>
      <c r="L30" s="68">
        <f>IFERROR(__xludf.DUMMYFUNCTION("""COMPUTED_VALUE"""),600.0)</f>
        <v>600</v>
      </c>
      <c r="M30" s="68"/>
      <c r="N30" s="68">
        <f>IFERROR(__xludf.DUMMYFUNCTION("""COMPUTED_VALUE"""),250.0)</f>
        <v>250</v>
      </c>
      <c r="O30" s="68" t="str">
        <f>IFERROR(__xludf.DUMMYFUNCTION("""COMPUTED_VALUE"""),"Olemas")</f>
        <v>Olemas</v>
      </c>
      <c r="P30" s="68" t="str">
        <f>IFERROR(__xludf.DUMMYFUNCTION("""COMPUTED_VALUE"""),"Olemas")</f>
        <v>Olemas</v>
      </c>
      <c r="Q30" s="68" t="str">
        <f>IFERROR(__xludf.DUMMYFUNCTION("""COMPUTED_VALUE"""),"Olemas")</f>
        <v>Olemas</v>
      </c>
      <c r="R30" s="68" t="str">
        <f>IFERROR(__xludf.DUMMYFUNCTION("""COMPUTED_VALUE"""),"4x6")</f>
        <v>4x6</v>
      </c>
      <c r="S30" s="68" t="str">
        <f>IFERROR(__xludf.DUMMYFUNCTION("""COMPUTED_VALUE"""),"Jah")</f>
        <v>Jah</v>
      </c>
      <c r="T30" s="68" t="str">
        <f>IFERROR(__xludf.DUMMYFUNCTION("""COMPUTED_VALUE"""),"Galeriivalgustus")</f>
        <v>Galeriivalgustus</v>
      </c>
      <c r="U30" s="68"/>
      <c r="V30" s="68" t="str">
        <f>IFERROR(__xludf.DUMMYFUNCTION("""COMPUTED_VALUE"""),"Jah")</f>
        <v>Jah</v>
      </c>
      <c r="W30" s="68" t="str">
        <f>IFERROR(__xludf.DUMMYFUNCTION("""COMPUTED_VALUE"""),"Jah")</f>
        <v>Jah</v>
      </c>
      <c r="X30" s="68" t="str">
        <f>IFERROR(__xludf.DUMMYFUNCTION("""COMPUTED_VALUE"""),"Jah")</f>
        <v>Jah</v>
      </c>
      <c r="Y30" s="68" t="str">
        <f>IFERROR(__xludf.DUMMYFUNCTION("""COMPUTED_VALUE"""),"Parklad")</f>
        <v>Parklad</v>
      </c>
      <c r="Z30" s="68" t="str">
        <f>IFERROR(__xludf.DUMMYFUNCTION("""COMPUTED_VALUE"""),"Suvelava 500 inimest + Lennuväli 60 000+ inimest")</f>
        <v>Suvelava 500 inimest + Lennuväli 60 000+ inimest</v>
      </c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</row>
    <row r="31">
      <c r="A31" s="68" t="str">
        <f>IFERROR(__xludf.DUMMYFUNCTION("""COMPUTED_VALUE"""),"Eesti Spordi- ja Olümpiamuuseum")</f>
        <v>Eesti Spordi- ja Olümpiamuuseum</v>
      </c>
      <c r="B31" s="68" t="str">
        <f>IFERROR(__xludf.DUMMYFUNCTION("""COMPUTED_VALUE"""),"Tartu linn")</f>
        <v>Tartu linn</v>
      </c>
      <c r="C31" s="68" t="str">
        <f>IFERROR(__xludf.DUMMYFUNCTION("""COMPUTED_VALUE"""),"Muuseum")</f>
        <v>Muuseum</v>
      </c>
      <c r="D31" s="69" t="str">
        <f>IFERROR(__xludf.DUMMYFUNCTION("""COMPUTED_VALUE"""),"www.spordimuuseum.ee")</f>
        <v>www.spordimuuseum.ee</v>
      </c>
      <c r="E31" s="68" t="str">
        <f>IFERROR(__xludf.DUMMYFUNCTION("""COMPUTED_VALUE"""),"730 0750")</f>
        <v>730 0750</v>
      </c>
      <c r="F31" s="68" t="str">
        <f>IFERROR(__xludf.DUMMYFUNCTION("""COMPUTED_VALUE"""),"info@spordimuuseum.ee")</f>
        <v>info@spordimuuseum.ee</v>
      </c>
      <c r="G31" s="68" t="str">
        <f>IFERROR(__xludf.DUMMYFUNCTION("""COMPUTED_VALUE"""),"Karl Kask")</f>
        <v>Karl Kask</v>
      </c>
      <c r="H31" s="68" t="str">
        <f>IFERROR(__xludf.DUMMYFUNCTION("""COMPUTED_VALUE"""),"Rüütli 15, 51007")</f>
        <v>Rüütli 15, 51007</v>
      </c>
      <c r="I31" s="68" t="str">
        <f>IFERROR(__xludf.DUMMYFUNCTION("""COMPUTED_VALUE"""),"200+")</f>
        <v>200+</v>
      </c>
      <c r="J31" s="68" t="str">
        <f>IFERROR(__xludf.DUMMYFUNCTION("""COMPUTED_VALUE"""),"Jah")</f>
        <v>Jah</v>
      </c>
      <c r="K31" s="68" t="str">
        <f>IFERROR(__xludf.DUMMYFUNCTION("""COMPUTED_VALUE"""),"Teine")</f>
        <v>Teine</v>
      </c>
      <c r="L31" s="68"/>
      <c r="M31" s="68"/>
      <c r="N31" s="68">
        <f>IFERROR(__xludf.DUMMYFUNCTION("""COMPUTED_VALUE"""),50.0)</f>
        <v>50</v>
      </c>
      <c r="O31" s="68" t="str">
        <f>IFERROR(__xludf.DUMMYFUNCTION("""COMPUTED_VALUE"""),"Olemas")</f>
        <v>Olemas</v>
      </c>
      <c r="P31" s="68" t="str">
        <f>IFERROR(__xludf.DUMMYFUNCTION("""COMPUTED_VALUE"""),"Olemas")</f>
        <v>Olemas</v>
      </c>
      <c r="Q31" s="68" t="str">
        <f>IFERROR(__xludf.DUMMYFUNCTION("""COMPUTED_VALUE"""),"Olemas")</f>
        <v>Olemas</v>
      </c>
      <c r="R31" s="68" t="str">
        <f>IFERROR(__xludf.DUMMYFUNCTION("""COMPUTED_VALUE"""),"4x3")</f>
        <v>4x3</v>
      </c>
      <c r="S31" s="68" t="str">
        <f>IFERROR(__xludf.DUMMYFUNCTION("""COMPUTED_VALUE"""),"Jah")</f>
        <v>Jah</v>
      </c>
      <c r="T31" s="68" t="str">
        <f>IFERROR(__xludf.DUMMYFUNCTION("""COMPUTED_VALUE"""),"Seintele riputamisvõimalus")</f>
        <v>Seintele riputamisvõimalus</v>
      </c>
      <c r="U31" s="68"/>
      <c r="V31" s="68" t="str">
        <f>IFERROR(__xludf.DUMMYFUNCTION("""COMPUTED_VALUE"""),"Jah")</f>
        <v>Jah</v>
      </c>
      <c r="W31" s="68" t="str">
        <f>IFERROR(__xludf.DUMMYFUNCTION("""COMPUTED_VALUE"""),"Jah")</f>
        <v>Jah</v>
      </c>
      <c r="X31" s="68" t="str">
        <f>IFERROR(__xludf.DUMMYFUNCTION("""COMPUTED_VALUE"""),"Jah")</f>
        <v>Jah</v>
      </c>
      <c r="Y31" s="68" t="str">
        <f>IFERROR(__xludf.DUMMYFUNCTION("""COMPUTED_VALUE"""),"Tänaval")</f>
        <v>Tänaval</v>
      </c>
      <c r="Z31" s="68" t="str">
        <f>IFERROR(__xludf.DUMMYFUNCTION("""COMPUTED_VALUE"""),"Puudub")</f>
        <v>Puudub</v>
      </c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</row>
    <row r="32">
      <c r="A32" s="68" t="str">
        <f>IFERROR(__xludf.DUMMYFUNCTION("""COMPUTED_VALUE"""),"Eesti Trükimuuseum")</f>
        <v>Eesti Trükimuuseum</v>
      </c>
      <c r="B32" s="68" t="str">
        <f>IFERROR(__xludf.DUMMYFUNCTION("""COMPUTED_VALUE"""),"Tartu linn")</f>
        <v>Tartu linn</v>
      </c>
      <c r="C32" s="68" t="str">
        <f>IFERROR(__xludf.DUMMYFUNCTION("""COMPUTED_VALUE"""),"Muuseum")</f>
        <v>Muuseum</v>
      </c>
      <c r="D32" s="69" t="str">
        <f>IFERROR(__xludf.DUMMYFUNCTION("""COMPUTED_VALUE"""),"www.typa.ee")</f>
        <v>www.typa.ee</v>
      </c>
      <c r="E32" s="68" t="str">
        <f>IFERROR(__xludf.DUMMYFUNCTION("""COMPUTED_VALUE"""),"5682 8117")</f>
        <v>5682 8117</v>
      </c>
      <c r="F32" s="68" t="str">
        <f>IFERROR(__xludf.DUMMYFUNCTION("""COMPUTED_VALUE"""),"typa@typa.ee")</f>
        <v>typa@typa.ee</v>
      </c>
      <c r="G32" s="68" t="str">
        <f>IFERROR(__xludf.DUMMYFUNCTION("""COMPUTED_VALUE"""),"Madis Mikkor")</f>
        <v>Madis Mikkor</v>
      </c>
      <c r="H32" s="68" t="str">
        <f>IFERROR(__xludf.DUMMYFUNCTION("""COMPUTED_VALUE"""),"Kastani 48f, 50410")</f>
        <v>Kastani 48f, 50410</v>
      </c>
      <c r="I32" s="68" t="str">
        <f>IFERROR(__xludf.DUMMYFUNCTION("""COMPUTED_VALUE"""),"50+")</f>
        <v>50+</v>
      </c>
      <c r="J32" s="68" t="str">
        <f>IFERROR(__xludf.DUMMYFUNCTION("""COMPUTED_VALUE"""),"Jah")</f>
        <v>Jah</v>
      </c>
      <c r="K32" s="68" t="str">
        <f>IFERROR(__xludf.DUMMYFUNCTION("""COMPUTED_VALUE"""),"Esimene")</f>
        <v>Esimene</v>
      </c>
      <c r="L32" s="68">
        <f>IFERROR(__xludf.DUMMYFUNCTION("""COMPUTED_VALUE"""),30.0)</f>
        <v>30</v>
      </c>
      <c r="M32" s="68"/>
      <c r="N32" s="68">
        <f>IFERROR(__xludf.DUMMYFUNCTION("""COMPUTED_VALUE"""),15.0)</f>
        <v>15</v>
      </c>
      <c r="O32" s="68" t="str">
        <f>IFERROR(__xludf.DUMMYFUNCTION("""COMPUTED_VALUE"""),"Olemas")</f>
        <v>Olemas</v>
      </c>
      <c r="P32" s="68" t="str">
        <f>IFERROR(__xludf.DUMMYFUNCTION("""COMPUTED_VALUE"""),"Olemas")</f>
        <v>Olemas</v>
      </c>
      <c r="Q32" s="68" t="str">
        <f>IFERROR(__xludf.DUMMYFUNCTION("""COMPUTED_VALUE"""),"Olemas")</f>
        <v>Olemas</v>
      </c>
      <c r="R32" s="68"/>
      <c r="S32" s="68" t="str">
        <f>IFERROR(__xludf.DUMMYFUNCTION("""COMPUTED_VALUE"""),"Jah")</f>
        <v>Jah</v>
      </c>
      <c r="T32" s="68" t="str">
        <f>IFERROR(__xludf.DUMMYFUNCTION("""COMPUTED_VALUE"""),"Galeriivalgustus")</f>
        <v>Galeriivalgustus</v>
      </c>
      <c r="U32" s="68"/>
      <c r="V32" s="68" t="str">
        <f>IFERROR(__xludf.DUMMYFUNCTION("""COMPUTED_VALUE"""),"Jah")</f>
        <v>Jah</v>
      </c>
      <c r="W32" s="68" t="str">
        <f>IFERROR(__xludf.DUMMYFUNCTION("""COMPUTED_VALUE"""),"Jah")</f>
        <v>Jah</v>
      </c>
      <c r="X32" s="68" t="str">
        <f>IFERROR(__xludf.DUMMYFUNCTION("""COMPUTED_VALUE"""),"Jah")</f>
        <v>Jah</v>
      </c>
      <c r="Y32" s="68" t="str">
        <f>IFERROR(__xludf.DUMMYFUNCTION("""COMPUTED_VALUE"""),"Tänaval/parklas")</f>
        <v>Tänaval/parklas</v>
      </c>
      <c r="Z32" s="68" t="str">
        <f>IFERROR(__xludf.DUMMYFUNCTION("""COMPUTED_VALUE"""),"Hoovis")</f>
        <v>Hoovis</v>
      </c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</row>
    <row r="33">
      <c r="A33" s="68" t="str">
        <f>IFERROR(__xludf.DUMMYFUNCTION("""COMPUTED_VALUE"""),"Kaitseväe Ühendatud Õppeasutuste muuseum")</f>
        <v>Kaitseväe Ühendatud Õppeasutuste muuseum</v>
      </c>
      <c r="B33" s="68" t="str">
        <f>IFERROR(__xludf.DUMMYFUNCTION("""COMPUTED_VALUE"""),"Tartu linn")</f>
        <v>Tartu linn</v>
      </c>
      <c r="C33" s="68" t="str">
        <f>IFERROR(__xludf.DUMMYFUNCTION("""COMPUTED_VALUE"""),"Muuseum")</f>
        <v>Muuseum</v>
      </c>
      <c r="D33" s="69" t="str">
        <f>IFERROR(__xludf.DUMMYFUNCTION("""COMPUTED_VALUE"""),"www.kvak.ee/muuseum/ ")</f>
        <v>www.kvak.ee/muuseum/ </v>
      </c>
      <c r="E33" s="68" t="str">
        <f>IFERROR(__xludf.DUMMYFUNCTION("""COMPUTED_VALUE"""),"731 416")</f>
        <v>731 416</v>
      </c>
      <c r="F33" s="68" t="str">
        <f>IFERROR(__xludf.DUMMYFUNCTION("""COMPUTED_VALUE"""),"kva.muuseum@mil.ee")</f>
        <v>kva.muuseum@mil.ee</v>
      </c>
      <c r="G33" s="68" t="str">
        <f>IFERROR(__xludf.DUMMYFUNCTION("""COMPUTED_VALUE"""),"Hans Lehepuu")</f>
        <v>Hans Lehepuu</v>
      </c>
      <c r="H33" s="68" t="str">
        <f>IFERROR(__xludf.DUMMYFUNCTION("""COMPUTED_VALUE"""),"Riia 12, 51010")</f>
        <v>Riia 12, 51010</v>
      </c>
      <c r="I33" s="68" t="str">
        <f>IFERROR(__xludf.DUMMYFUNCTION("""COMPUTED_VALUE"""),"30+")</f>
        <v>30+</v>
      </c>
      <c r="J33" s="68" t="str">
        <f>IFERROR(__xludf.DUMMYFUNCTION("""COMPUTED_VALUE"""),"Ei")</f>
        <v>Ei</v>
      </c>
      <c r="K33" s="68"/>
      <c r="L33" s="68"/>
      <c r="M33" s="68"/>
      <c r="N33" s="68"/>
      <c r="O33" s="68" t="str">
        <f>IFERROR(__xludf.DUMMYFUNCTION("""COMPUTED_VALUE"""),"Puuduvad")</f>
        <v>Puuduvad</v>
      </c>
      <c r="P33" s="68" t="str">
        <f>IFERROR(__xludf.DUMMYFUNCTION("""COMPUTED_VALUE"""),"Puuduvad")</f>
        <v>Puuduvad</v>
      </c>
      <c r="Q33" s="68" t="str">
        <f>IFERROR(__xludf.DUMMYFUNCTION("""COMPUTED_VALUE"""),"Puuduvad")</f>
        <v>Puuduvad</v>
      </c>
      <c r="R33" s="68"/>
      <c r="S33" s="68" t="str">
        <f>IFERROR(__xludf.DUMMYFUNCTION("""COMPUTED_VALUE"""),"Ei")</f>
        <v>Ei</v>
      </c>
      <c r="T33" s="68" t="str">
        <f>IFERROR(__xludf.DUMMYFUNCTION("""COMPUTED_VALUE"""),"Ei")</f>
        <v>Ei</v>
      </c>
      <c r="U33" s="68"/>
      <c r="V33" s="68" t="str">
        <f>IFERROR(__xludf.DUMMYFUNCTION("""COMPUTED_VALUE"""),"Ei")</f>
        <v>Ei</v>
      </c>
      <c r="W33" s="68" t="str">
        <f>IFERROR(__xludf.DUMMYFUNCTION("""COMPUTED_VALUE"""),"Jah")</f>
        <v>Jah</v>
      </c>
      <c r="X33" s="68" t="str">
        <f>IFERROR(__xludf.DUMMYFUNCTION("""COMPUTED_VALUE"""),"Jah")</f>
        <v>Jah</v>
      </c>
      <c r="Y33" s="68" t="str">
        <f>IFERROR(__xludf.DUMMYFUNCTION("""COMPUTED_VALUE"""),"Tänaval")</f>
        <v>Tänaval</v>
      </c>
      <c r="Z33" s="68" t="str">
        <f>IFERROR(__xludf.DUMMYFUNCTION("""COMPUTED_VALUE"""),"Maja ees väljakul")</f>
        <v>Maja ees väljakul</v>
      </c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</row>
    <row r="34">
      <c r="A34" s="68" t="str">
        <f>IFERROR(__xludf.DUMMYFUNCTION("""COMPUTED_VALUE"""),"KGB Kongide muuseum (Tartu Linnamuuseumi filiaal)")</f>
        <v>KGB Kongide muuseum (Tartu Linnamuuseumi filiaal)</v>
      </c>
      <c r="B34" s="68" t="str">
        <f>IFERROR(__xludf.DUMMYFUNCTION("""COMPUTED_VALUE"""),"Tartu linn")</f>
        <v>Tartu linn</v>
      </c>
      <c r="C34" s="68" t="str">
        <f>IFERROR(__xludf.DUMMYFUNCTION("""COMPUTED_VALUE"""),"Muuseum")</f>
        <v>Muuseum</v>
      </c>
      <c r="D34" s="69" t="str">
        <f>IFERROR(__xludf.DUMMYFUNCTION("""COMPUTED_VALUE"""),"www.muuseum.tartu.ee/kgb-kongide-muuseum/")</f>
        <v>www.muuseum.tartu.ee/kgb-kongide-muuseum/</v>
      </c>
      <c r="E34" s="68" t="str">
        <f>IFERROR(__xludf.DUMMYFUNCTION("""COMPUTED_VALUE"""),"746 1717")</f>
        <v>746 1717</v>
      </c>
      <c r="F34" s="68" t="str">
        <f>IFERROR(__xludf.DUMMYFUNCTION("""COMPUTED_VALUE"""),"kgb@muuseum.tartu.ee")</f>
        <v>kgb@muuseum.tartu.ee</v>
      </c>
      <c r="G34" s="68" t="str">
        <f>IFERROR(__xludf.DUMMYFUNCTION("""COMPUTED_VALUE"""),"Martin Jaigma")</f>
        <v>Martin Jaigma</v>
      </c>
      <c r="H34" s="68" t="str">
        <f>IFERROR(__xludf.DUMMYFUNCTION("""COMPUTED_VALUE"""),"Riia 15b, 51010")</f>
        <v>Riia 15b, 51010</v>
      </c>
      <c r="I34" s="68" t="str">
        <f>IFERROR(__xludf.DUMMYFUNCTION("""COMPUTED_VALUE"""),"30+")</f>
        <v>30+</v>
      </c>
      <c r="J34" s="68" t="str">
        <f>IFERROR(__xludf.DUMMYFUNCTION("""COMPUTED_VALUE"""),"Ei")</f>
        <v>Ei</v>
      </c>
      <c r="K34" s="68"/>
      <c r="L34" s="68"/>
      <c r="M34" s="68"/>
      <c r="N34" s="68"/>
      <c r="O34" s="68" t="str">
        <f>IFERROR(__xludf.DUMMYFUNCTION("""COMPUTED_VALUE"""),"Puuduvad")</f>
        <v>Puuduvad</v>
      </c>
      <c r="P34" s="68" t="str">
        <f>IFERROR(__xludf.DUMMYFUNCTION("""COMPUTED_VALUE"""),"Puuduvad")</f>
        <v>Puuduvad</v>
      </c>
      <c r="Q34" s="68" t="str">
        <f>IFERROR(__xludf.DUMMYFUNCTION("""COMPUTED_VALUE"""),"Puuduvad")</f>
        <v>Puuduvad</v>
      </c>
      <c r="R34" s="68"/>
      <c r="S34" s="68" t="str">
        <f>IFERROR(__xludf.DUMMYFUNCTION("""COMPUTED_VALUE"""),"Ei")</f>
        <v>Ei</v>
      </c>
      <c r="T34" s="68" t="str">
        <f>IFERROR(__xludf.DUMMYFUNCTION("""COMPUTED_VALUE"""),"Ei")</f>
        <v>Ei</v>
      </c>
      <c r="U34" s="68"/>
      <c r="V34" s="68" t="str">
        <f>IFERROR(__xludf.DUMMYFUNCTION("""COMPUTED_VALUE"""),"Ei")</f>
        <v>Ei</v>
      </c>
      <c r="W34" s="68" t="str">
        <f>IFERROR(__xludf.DUMMYFUNCTION("""COMPUTED_VALUE"""),"Jah")</f>
        <v>Jah</v>
      </c>
      <c r="X34" s="68" t="str">
        <f>IFERROR(__xludf.DUMMYFUNCTION("""COMPUTED_VALUE"""),"Jah")</f>
        <v>Jah</v>
      </c>
      <c r="Y34" s="68" t="str">
        <f>IFERROR(__xludf.DUMMYFUNCTION("""COMPUTED_VALUE"""),"Tänaval")</f>
        <v>Tänaval</v>
      </c>
      <c r="Z34" s="68" t="str">
        <f>IFERROR(__xludf.DUMMYFUNCTION("""COMPUTED_VALUE"""),"Puudub")</f>
        <v>Puudub</v>
      </c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</row>
    <row r="35">
      <c r="A35" s="68" t="str">
        <f>IFERROR(__xludf.DUMMYFUNCTION("""COMPUTED_VALUE"""),"Laulupeomuuseum (Tartu Linnamuuseumi filiaal)")</f>
        <v>Laulupeomuuseum (Tartu Linnamuuseumi filiaal)</v>
      </c>
      <c r="B35" s="68" t="str">
        <f>IFERROR(__xludf.DUMMYFUNCTION("""COMPUTED_VALUE"""),"Tartu linn")</f>
        <v>Tartu linn</v>
      </c>
      <c r="C35" s="68" t="str">
        <f>IFERROR(__xludf.DUMMYFUNCTION("""COMPUTED_VALUE"""),"Muuseum")</f>
        <v>Muuseum</v>
      </c>
      <c r="D35" s="69" t="str">
        <f>IFERROR(__xludf.DUMMYFUNCTION("""COMPUTED_VALUE"""),"wwww.muuseum.tartu.ee/rent/laulupeomuuseumi-park-paviljoniga/")</f>
        <v>wwww.muuseum.tartu.ee/rent/laulupeomuuseumi-park-paviljoniga/</v>
      </c>
      <c r="E35" s="68" t="str">
        <f>IFERROR(__xludf.DUMMYFUNCTION("""COMPUTED_VALUE"""),"746 1020")</f>
        <v>746 1020</v>
      </c>
      <c r="F35" s="68" t="str">
        <f>IFERROR(__xludf.DUMMYFUNCTION("""COMPUTED_VALUE"""),"laulupeomuuseum@muuseum.tartu.ee")</f>
        <v>laulupeomuuseum@muuseum.tartu.ee</v>
      </c>
      <c r="G35" s="68" t="str">
        <f>IFERROR(__xludf.DUMMYFUNCTION("""COMPUTED_VALUE"""),"Liivia Suurväli")</f>
        <v>Liivia Suurväli</v>
      </c>
      <c r="H35" s="68" t="str">
        <f>IFERROR(__xludf.DUMMYFUNCTION("""COMPUTED_VALUE"""),"Jaama 14, 51009")</f>
        <v>Jaama 14, 51009</v>
      </c>
      <c r="I35" s="68" t="str">
        <f>IFERROR(__xludf.DUMMYFUNCTION("""COMPUTED_VALUE"""),"100+")</f>
        <v>100+</v>
      </c>
      <c r="J35" s="68" t="str">
        <f>IFERROR(__xludf.DUMMYFUNCTION("""COMPUTED_VALUE"""),"Jah")</f>
        <v>Jah</v>
      </c>
      <c r="K35" s="68" t="str">
        <f>IFERROR(__xludf.DUMMYFUNCTION("""COMPUTED_VALUE"""),"Teine")</f>
        <v>Teine</v>
      </c>
      <c r="L35" s="68">
        <f>IFERROR(__xludf.DUMMYFUNCTION("""COMPUTED_VALUE"""),70.0)</f>
        <v>70</v>
      </c>
      <c r="M35" s="68"/>
      <c r="N35" s="68">
        <f>IFERROR(__xludf.DUMMYFUNCTION("""COMPUTED_VALUE"""),15.0)</f>
        <v>15</v>
      </c>
      <c r="O35" s="68" t="str">
        <f>IFERROR(__xludf.DUMMYFUNCTION("""COMPUTED_VALUE"""),"Olemas")</f>
        <v>Olemas</v>
      </c>
      <c r="P35" s="68" t="str">
        <f>IFERROR(__xludf.DUMMYFUNCTION("""COMPUTED_VALUE"""),"Olemas")</f>
        <v>Olemas</v>
      </c>
      <c r="Q35" s="68" t="str">
        <f>IFERROR(__xludf.DUMMYFUNCTION("""COMPUTED_VALUE"""),"Olemas")</f>
        <v>Olemas</v>
      </c>
      <c r="R35" s="68"/>
      <c r="S35" s="68" t="str">
        <f>IFERROR(__xludf.DUMMYFUNCTION("""COMPUTED_VALUE"""),"Ei")</f>
        <v>Ei</v>
      </c>
      <c r="T35" s="68" t="str">
        <f>IFERROR(__xludf.DUMMYFUNCTION("""COMPUTED_VALUE"""),"Seintele riputamisvõimalus")</f>
        <v>Seintele riputamisvõimalus</v>
      </c>
      <c r="U35" s="68"/>
      <c r="V35" s="68" t="str">
        <f>IFERROR(__xludf.DUMMYFUNCTION("""COMPUTED_VALUE"""),"Jah")</f>
        <v>Jah</v>
      </c>
      <c r="W35" s="68" t="str">
        <f>IFERROR(__xludf.DUMMYFUNCTION("""COMPUTED_VALUE"""),"Jah")</f>
        <v>Jah</v>
      </c>
      <c r="X35" s="68" t="str">
        <f>IFERROR(__xludf.DUMMYFUNCTION("""COMPUTED_VALUE"""),"Jah")</f>
        <v>Jah</v>
      </c>
      <c r="Y35" s="68" t="str">
        <f>IFERROR(__xludf.DUMMYFUNCTION("""COMPUTED_VALUE"""),"Tänaval")</f>
        <v>Tänaval</v>
      </c>
      <c r="Z35" s="68" t="str">
        <f>IFERROR(__xludf.DUMMYFUNCTION("""COMPUTED_VALUE"""),"Park paviljoniga+sisehoov")</f>
        <v>Park paviljoniga+sisehoov</v>
      </c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</row>
    <row r="36">
      <c r="A36" s="68" t="str">
        <f>IFERROR(__xludf.DUMMYFUNCTION("""COMPUTED_VALUE"""),"Oskar Lutsu majamuuseum (Tartu Linnamuuseumi filiaal)")</f>
        <v>Oskar Lutsu majamuuseum (Tartu Linnamuuseumi filiaal)</v>
      </c>
      <c r="B36" s="68" t="str">
        <f>IFERROR(__xludf.DUMMYFUNCTION("""COMPUTED_VALUE"""),"Tartu linn")</f>
        <v>Tartu linn</v>
      </c>
      <c r="C36" s="68" t="str">
        <f>IFERROR(__xludf.DUMMYFUNCTION("""COMPUTED_VALUE"""),"Muuseum")</f>
        <v>Muuseum</v>
      </c>
      <c r="D36" s="69" t="str">
        <f>IFERROR(__xludf.DUMMYFUNCTION("""COMPUTED_VALUE"""),"www.muuseum.tartu.ee/oskar-lutsu-majamuuseum/")</f>
        <v>www.muuseum.tartu.ee/oskar-lutsu-majamuuseum/</v>
      </c>
      <c r="E36" s="68" t="str">
        <f>IFERROR(__xludf.DUMMYFUNCTION("""COMPUTED_VALUE"""),"746 1030")</f>
        <v>746 1030</v>
      </c>
      <c r="F36" s="68" t="str">
        <f>IFERROR(__xludf.DUMMYFUNCTION("""COMPUTED_VALUE"""),"meeli.valjaots@muuseum.tartu.ee")</f>
        <v>meeli.valjaots@muuseum.tartu.ee</v>
      </c>
      <c r="G36" s="68" t="str">
        <f>IFERROR(__xludf.DUMMYFUNCTION("""COMPUTED_VALUE"""),"Meeli Väljaots")</f>
        <v>Meeli Väljaots</v>
      </c>
      <c r="H36" s="68" t="str">
        <f>IFERROR(__xludf.DUMMYFUNCTION("""COMPUTED_VALUE"""),"Riia 38, 50405")</f>
        <v>Riia 38, 50405</v>
      </c>
      <c r="I36" s="68" t="str">
        <f>IFERROR(__xludf.DUMMYFUNCTION("""COMPUTED_VALUE"""),"25+")</f>
        <v>25+</v>
      </c>
      <c r="J36" s="68" t="str">
        <f>IFERROR(__xludf.DUMMYFUNCTION("""COMPUTED_VALUE"""),"Ei")</f>
        <v>Ei</v>
      </c>
      <c r="K36" s="68"/>
      <c r="L36" s="68"/>
      <c r="M36" s="68"/>
      <c r="N36" s="68"/>
      <c r="O36" s="68" t="str">
        <f>IFERROR(__xludf.DUMMYFUNCTION("""COMPUTED_VALUE"""),"Olemas")</f>
        <v>Olemas</v>
      </c>
      <c r="P36" s="68" t="str">
        <f>IFERROR(__xludf.DUMMYFUNCTION("""COMPUTED_VALUE"""),"Puuduvad")</f>
        <v>Puuduvad</v>
      </c>
      <c r="Q36" s="68" t="str">
        <f>IFERROR(__xludf.DUMMYFUNCTION("""COMPUTED_VALUE"""),"Olemas")</f>
        <v>Olemas</v>
      </c>
      <c r="R36" s="68"/>
      <c r="S36" s="68" t="str">
        <f>IFERROR(__xludf.DUMMYFUNCTION("""COMPUTED_VALUE"""),"Ei")</f>
        <v>Ei</v>
      </c>
      <c r="T36" s="68" t="str">
        <f>IFERROR(__xludf.DUMMYFUNCTION("""COMPUTED_VALUE"""),"Ei")</f>
        <v>Ei</v>
      </c>
      <c r="U36" s="68"/>
      <c r="V36" s="68" t="str">
        <f>IFERROR(__xludf.DUMMYFUNCTION("""COMPUTED_VALUE"""),"Ei")</f>
        <v>Ei</v>
      </c>
      <c r="W36" s="68" t="str">
        <f>IFERROR(__xludf.DUMMYFUNCTION("""COMPUTED_VALUE"""),"Jah")</f>
        <v>Jah</v>
      </c>
      <c r="X36" s="68" t="str">
        <f>IFERROR(__xludf.DUMMYFUNCTION("""COMPUTED_VALUE"""),"Jah")</f>
        <v>Jah</v>
      </c>
      <c r="Y36" s="68" t="str">
        <f>IFERROR(__xludf.DUMMYFUNCTION("""COMPUTED_VALUE"""),"Tänaval")</f>
        <v>Tänaval</v>
      </c>
      <c r="Z36" s="68" t="str">
        <f>IFERROR(__xludf.DUMMYFUNCTION("""COMPUTED_VALUE"""),"Mahukas aed 200 inimesele")</f>
        <v>Mahukas aed 200 inimesele</v>
      </c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</row>
    <row r="37">
      <c r="A37" s="68" t="str">
        <f>IFERROR(__xludf.DUMMYFUNCTION("""COMPUTED_VALUE"""),"Skulptor Endel Taniloo kortermuuseum (eramuuseum)")</f>
        <v>Skulptor Endel Taniloo kortermuuseum (eramuuseum)</v>
      </c>
      <c r="B37" s="68" t="str">
        <f>IFERROR(__xludf.DUMMYFUNCTION("""COMPUTED_VALUE"""),"Tartu linn")</f>
        <v>Tartu linn</v>
      </c>
      <c r="C37" s="68" t="str">
        <f>IFERROR(__xludf.DUMMYFUNCTION("""COMPUTED_VALUE"""),"Muuseum")</f>
        <v>Muuseum</v>
      </c>
      <c r="D37" s="69" t="str">
        <f>IFERROR(__xludf.DUMMYFUNCTION("""COMPUTED_VALUE"""),"www.muuseum.taniloo.ee")</f>
        <v>www.muuseum.taniloo.ee</v>
      </c>
      <c r="E37" s="68"/>
      <c r="F37" s="68" t="str">
        <f>IFERROR(__xludf.DUMMYFUNCTION("""COMPUTED_VALUE"""),"muuseum@taniloo.ee")</f>
        <v>muuseum@taniloo.ee</v>
      </c>
      <c r="G37" s="68" t="str">
        <f>IFERROR(__xludf.DUMMYFUNCTION("""COMPUTED_VALUE"""),"Urmas Taniloo")</f>
        <v>Urmas Taniloo</v>
      </c>
      <c r="H37" s="68" t="str">
        <f>IFERROR(__xludf.DUMMYFUNCTION("""COMPUTED_VALUE"""),"Jakobi 35, 51005")</f>
        <v>Jakobi 35, 51005</v>
      </c>
      <c r="I37" s="68" t="str">
        <f>IFERROR(__xludf.DUMMYFUNCTION("""COMPUTED_VALUE"""),"15+")</f>
        <v>15+</v>
      </c>
      <c r="J37" s="68" t="str">
        <f>IFERROR(__xludf.DUMMYFUNCTION("""COMPUTED_VALUE"""),"Ei")</f>
        <v>Ei</v>
      </c>
      <c r="K37" s="68"/>
      <c r="L37" s="68"/>
      <c r="M37" s="68"/>
      <c r="N37" s="68"/>
      <c r="O37" s="68" t="str">
        <f>IFERROR(__xludf.DUMMYFUNCTION("""COMPUTED_VALUE"""),"Puuduvad")</f>
        <v>Puuduvad</v>
      </c>
      <c r="P37" s="68" t="str">
        <f>IFERROR(__xludf.DUMMYFUNCTION("""COMPUTED_VALUE"""),"Puuduvad")</f>
        <v>Puuduvad</v>
      </c>
      <c r="Q37" s="68" t="str">
        <f>IFERROR(__xludf.DUMMYFUNCTION("""COMPUTED_VALUE"""),"Puuduvad")</f>
        <v>Puuduvad</v>
      </c>
      <c r="R37" s="68"/>
      <c r="S37" s="68" t="str">
        <f>IFERROR(__xludf.DUMMYFUNCTION("""COMPUTED_VALUE"""),"Ei")</f>
        <v>Ei</v>
      </c>
      <c r="T37" s="68" t="str">
        <f>IFERROR(__xludf.DUMMYFUNCTION("""COMPUTED_VALUE"""),"Ei")</f>
        <v>Ei</v>
      </c>
      <c r="U37" s="68"/>
      <c r="V37" s="68" t="str">
        <f>IFERROR(__xludf.DUMMYFUNCTION("""COMPUTED_VALUE"""),"Ei")</f>
        <v>Ei</v>
      </c>
      <c r="W37" s="68" t="str">
        <f>IFERROR(__xludf.DUMMYFUNCTION("""COMPUTED_VALUE"""),"Jah")</f>
        <v>Jah</v>
      </c>
      <c r="X37" s="68" t="str">
        <f>IFERROR(__xludf.DUMMYFUNCTION("""COMPUTED_VALUE"""),"Jah")</f>
        <v>Jah</v>
      </c>
      <c r="Y37" s="68" t="str">
        <f>IFERROR(__xludf.DUMMYFUNCTION("""COMPUTED_VALUE"""),"Tänaval")</f>
        <v>Tänaval</v>
      </c>
      <c r="Z37" s="68" t="str">
        <f>IFERROR(__xludf.DUMMYFUNCTION("""COMPUTED_VALUE"""),"Puudub")</f>
        <v>Puudub</v>
      </c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</row>
    <row r="38">
      <c r="A38" s="68" t="str">
        <f>IFERROR(__xludf.DUMMYFUNCTION("""COMPUTED_VALUE"""),"Tartu Kunstimaja")</f>
        <v>Tartu Kunstimaja</v>
      </c>
      <c r="B38" s="68" t="str">
        <f>IFERROR(__xludf.DUMMYFUNCTION("""COMPUTED_VALUE"""),"Tartu linn")</f>
        <v>Tartu linn</v>
      </c>
      <c r="C38" s="68" t="str">
        <f>IFERROR(__xludf.DUMMYFUNCTION("""COMPUTED_VALUE"""),"Galerii")</f>
        <v>Galerii</v>
      </c>
      <c r="D38" s="69" t="str">
        <f>IFERROR(__xludf.DUMMYFUNCTION("""COMPUTED_VALUE"""),"www.kunstimaja.ee")</f>
        <v>www.kunstimaja.ee</v>
      </c>
      <c r="E38" s="68" t="str">
        <f>IFERROR(__xludf.DUMMYFUNCTION("""COMPUTED_VALUE"""),"742 7671")</f>
        <v>742 7671</v>
      </c>
      <c r="F38" s="68" t="str">
        <f>IFERROR(__xludf.DUMMYFUNCTION("""COMPUTED_VALUE"""),"produtsent@kunstimaja.ee")</f>
        <v>produtsent@kunstimaja.ee</v>
      </c>
      <c r="G38" s="68" t="str">
        <f>IFERROR(__xludf.DUMMYFUNCTION("""COMPUTED_VALUE"""),"Tanel Asmer")</f>
        <v>Tanel Asmer</v>
      </c>
      <c r="H38" s="68" t="str">
        <f>IFERROR(__xludf.DUMMYFUNCTION("""COMPUTED_VALUE"""),"Vanemuise 26, 51003")</f>
        <v>Vanemuise 26, 51003</v>
      </c>
      <c r="I38" s="68" t="str">
        <f>IFERROR(__xludf.DUMMYFUNCTION("""COMPUTED_VALUE"""),"200+")</f>
        <v>200+</v>
      </c>
      <c r="J38" s="68" t="str">
        <f>IFERROR(__xludf.DUMMYFUNCTION("""COMPUTED_VALUE"""),"Jah")</f>
        <v>Jah</v>
      </c>
      <c r="K38" s="68" t="str">
        <f>IFERROR(__xludf.DUMMYFUNCTION("""COMPUTED_VALUE"""),"Teine")</f>
        <v>Teine</v>
      </c>
      <c r="L38" s="68"/>
      <c r="M38" s="68"/>
      <c r="N38" s="68"/>
      <c r="O38" s="68" t="str">
        <f>IFERROR(__xludf.DUMMYFUNCTION("""COMPUTED_VALUE"""),"Olemas")</f>
        <v>Olemas</v>
      </c>
      <c r="P38" s="68" t="str">
        <f>IFERROR(__xludf.DUMMYFUNCTION("""COMPUTED_VALUE"""),"Olemas")</f>
        <v>Olemas</v>
      </c>
      <c r="Q38" s="68" t="str">
        <f>IFERROR(__xludf.DUMMYFUNCTION("""COMPUTED_VALUE"""),"Olemas")</f>
        <v>Olemas</v>
      </c>
      <c r="R38" s="68"/>
      <c r="S38" s="68" t="str">
        <f>IFERROR(__xludf.DUMMYFUNCTION("""COMPUTED_VALUE"""),"Jah")</f>
        <v>Jah</v>
      </c>
      <c r="T38" s="68" t="str">
        <f>IFERROR(__xludf.DUMMYFUNCTION("""COMPUTED_VALUE"""),"Galeriivalgustus, stanged")</f>
        <v>Galeriivalgustus, stanged</v>
      </c>
      <c r="U38" s="68"/>
      <c r="V38" s="68" t="str">
        <f>IFERROR(__xludf.DUMMYFUNCTION("""COMPUTED_VALUE"""),"Ei")</f>
        <v>Ei</v>
      </c>
      <c r="W38" s="68" t="str">
        <f>IFERROR(__xludf.DUMMYFUNCTION("""COMPUTED_VALUE"""),"Jah")</f>
        <v>Jah</v>
      </c>
      <c r="X38" s="68" t="str">
        <f>IFERROR(__xludf.DUMMYFUNCTION("""COMPUTED_VALUE"""),"Jah")</f>
        <v>Jah</v>
      </c>
      <c r="Y38" s="68" t="str">
        <f>IFERROR(__xludf.DUMMYFUNCTION("""COMPUTED_VALUE"""),"Tänaval")</f>
        <v>Tänaval</v>
      </c>
      <c r="Z38" s="68" t="str">
        <f>IFERROR(__xludf.DUMMYFUNCTION("""COMPUTED_VALUE"""),"Puudub")</f>
        <v>Puudub</v>
      </c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</row>
    <row r="39">
      <c r="A39" s="68" t="str">
        <f>IFERROR(__xludf.DUMMYFUNCTION("""COMPUTED_VALUE"""),"Tartu Kunstimuuseum")</f>
        <v>Tartu Kunstimuuseum</v>
      </c>
      <c r="B39" s="68" t="str">
        <f>IFERROR(__xludf.DUMMYFUNCTION("""COMPUTED_VALUE"""),"Tartu linn")</f>
        <v>Tartu linn</v>
      </c>
      <c r="C39" s="68" t="str">
        <f>IFERROR(__xludf.DUMMYFUNCTION("""COMPUTED_VALUE"""),"Muuseum")</f>
        <v>Muuseum</v>
      </c>
      <c r="D39" s="69" t="str">
        <f>IFERROR(__xludf.DUMMYFUNCTION("""COMPUTED_VALUE"""),"www.tartumus.ee")</f>
        <v>www.tartumus.ee</v>
      </c>
      <c r="E39" s="68" t="str">
        <f>IFERROR(__xludf.DUMMYFUNCTION("""COMPUTED_VALUE"""),"5881 7811")</f>
        <v>5881 7811</v>
      </c>
      <c r="F39" s="68" t="str">
        <f>IFERROR(__xludf.DUMMYFUNCTION("""COMPUTED_VALUE"""),"tartmus@tartmus.ee")</f>
        <v>tartmus@tartmus.ee</v>
      </c>
      <c r="G39" s="68" t="str">
        <f>IFERROR(__xludf.DUMMYFUNCTION("""COMPUTED_VALUE"""),"Katrin Lõoke")</f>
        <v>Katrin Lõoke</v>
      </c>
      <c r="H39" s="68" t="str">
        <f>IFERROR(__xludf.DUMMYFUNCTION("""COMPUTED_VALUE"""),"Raekoja plats 18, 51004")</f>
        <v>Raekoja plats 18, 51004</v>
      </c>
      <c r="I39" s="68" t="str">
        <f>IFERROR(__xludf.DUMMYFUNCTION("""COMPUTED_VALUE"""),"100+")</f>
        <v>100+</v>
      </c>
      <c r="J39" s="68" t="str">
        <f>IFERROR(__xludf.DUMMYFUNCTION("""COMPUTED_VALUE"""),"Jah")</f>
        <v>Jah</v>
      </c>
      <c r="K39" s="68" t="str">
        <f>IFERROR(__xludf.DUMMYFUNCTION("""COMPUTED_VALUE"""),"Teine")</f>
        <v>Teine</v>
      </c>
      <c r="L39" s="68"/>
      <c r="M39" s="68"/>
      <c r="N39" s="68"/>
      <c r="O39" s="68" t="str">
        <f>IFERROR(__xludf.DUMMYFUNCTION("""COMPUTED_VALUE"""),"Olemas")</f>
        <v>Olemas</v>
      </c>
      <c r="P39" s="68" t="str">
        <f>IFERROR(__xludf.DUMMYFUNCTION("""COMPUTED_VALUE"""),"Olemas")</f>
        <v>Olemas</v>
      </c>
      <c r="Q39" s="68" t="str">
        <f>IFERROR(__xludf.DUMMYFUNCTION("""COMPUTED_VALUE"""),"Olemas")</f>
        <v>Olemas</v>
      </c>
      <c r="R39" s="68"/>
      <c r="S39" s="68" t="str">
        <f>IFERROR(__xludf.DUMMYFUNCTION("""COMPUTED_VALUE"""),"Jah")</f>
        <v>Jah</v>
      </c>
      <c r="T39" s="68" t="str">
        <f>IFERROR(__xludf.DUMMYFUNCTION("""COMPUTED_VALUE"""),"Galeriivalgustus, stanged")</f>
        <v>Galeriivalgustus, stanged</v>
      </c>
      <c r="U39" s="68"/>
      <c r="V39" s="68" t="str">
        <f>IFERROR(__xludf.DUMMYFUNCTION("""COMPUTED_VALUE"""),"Ei")</f>
        <v>Ei</v>
      </c>
      <c r="W39" s="68" t="str">
        <f>IFERROR(__xludf.DUMMYFUNCTION("""COMPUTED_VALUE"""),"Jah")</f>
        <v>Jah</v>
      </c>
      <c r="X39" s="68" t="str">
        <f>IFERROR(__xludf.DUMMYFUNCTION("""COMPUTED_VALUE"""),"Jah")</f>
        <v>Jah</v>
      </c>
      <c r="Y39" s="68" t="str">
        <f>IFERROR(__xludf.DUMMYFUNCTION("""COMPUTED_VALUE"""),"Parkla")</f>
        <v>Parkla</v>
      </c>
      <c r="Z39" s="68" t="str">
        <f>IFERROR(__xludf.DUMMYFUNCTION("""COMPUTED_VALUE"""),"Puudub")</f>
        <v>Puudub</v>
      </c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</row>
    <row r="40">
      <c r="A40" s="68" t="str">
        <f>IFERROR(__xludf.DUMMYFUNCTION("""COMPUTED_VALUE"""),"Tartu Linnamuuseum")</f>
        <v>Tartu Linnamuuseum</v>
      </c>
      <c r="B40" s="68" t="str">
        <f>IFERROR(__xludf.DUMMYFUNCTION("""COMPUTED_VALUE"""),"Tartu linn")</f>
        <v>Tartu linn</v>
      </c>
      <c r="C40" s="68" t="str">
        <f>IFERROR(__xludf.DUMMYFUNCTION("""COMPUTED_VALUE"""),"Muuseum")</f>
        <v>Muuseum</v>
      </c>
      <c r="D40" s="69" t="str">
        <f>IFERROR(__xludf.DUMMYFUNCTION("""COMPUTED_VALUE"""),"www.muuseum.tartu.ee")</f>
        <v>www.muuseum.tartu.ee</v>
      </c>
      <c r="E40" s="68" t="str">
        <f>IFERROR(__xludf.DUMMYFUNCTION("""COMPUTED_VALUE"""),"746 1911")</f>
        <v>746 1911</v>
      </c>
      <c r="F40" s="68" t="str">
        <f>IFERROR(__xludf.DUMMYFUNCTION("""COMPUTED_VALUE"""),"linnamuuseum@muuseum.tartu.ee")</f>
        <v>linnamuuseum@muuseum.tartu.ee</v>
      </c>
      <c r="G40" s="68" t="str">
        <f>IFERROR(__xludf.DUMMYFUNCTION("""COMPUTED_VALUE"""),"Liisi-Reet Reinet")</f>
        <v>Liisi-Reet Reinet</v>
      </c>
      <c r="H40" s="68" t="str">
        <f>IFERROR(__xludf.DUMMYFUNCTION("""COMPUTED_VALUE"""),"Narva mnt 23, 51009")</f>
        <v>Narva mnt 23, 51009</v>
      </c>
      <c r="I40" s="68" t="str">
        <f>IFERROR(__xludf.DUMMYFUNCTION("""COMPUTED_VALUE"""),"150+")</f>
        <v>150+</v>
      </c>
      <c r="J40" s="68" t="str">
        <f>IFERROR(__xludf.DUMMYFUNCTION("""COMPUTED_VALUE"""),"Jah")</f>
        <v>Jah</v>
      </c>
      <c r="K40" s="68" t="str">
        <f>IFERROR(__xludf.DUMMYFUNCTION("""COMPUTED_VALUE"""),"Teine")</f>
        <v>Teine</v>
      </c>
      <c r="L40" s="68"/>
      <c r="M40" s="68"/>
      <c r="N40" s="68"/>
      <c r="O40" s="68" t="str">
        <f>IFERROR(__xludf.DUMMYFUNCTION("""COMPUTED_VALUE"""),"Olemas")</f>
        <v>Olemas</v>
      </c>
      <c r="P40" s="68" t="str">
        <f>IFERROR(__xludf.DUMMYFUNCTION("""COMPUTED_VALUE"""),"Puuduvad")</f>
        <v>Puuduvad</v>
      </c>
      <c r="Q40" s="68" t="str">
        <f>IFERROR(__xludf.DUMMYFUNCTION("""COMPUTED_VALUE"""),"Olemas")</f>
        <v>Olemas</v>
      </c>
      <c r="R40" s="68"/>
      <c r="S40" s="68" t="str">
        <f>IFERROR(__xludf.DUMMYFUNCTION("""COMPUTED_VALUE"""),"Jah")</f>
        <v>Jah</v>
      </c>
      <c r="T40" s="68" t="str">
        <f>IFERROR(__xludf.DUMMYFUNCTION("""COMPUTED_VALUE"""),"Ei")</f>
        <v>Ei</v>
      </c>
      <c r="U40" s="68"/>
      <c r="V40" s="68" t="str">
        <f>IFERROR(__xludf.DUMMYFUNCTION("""COMPUTED_VALUE"""),"Jah")</f>
        <v>Jah</v>
      </c>
      <c r="W40" s="68" t="str">
        <f>IFERROR(__xludf.DUMMYFUNCTION("""COMPUTED_VALUE"""),"Jah")</f>
        <v>Jah</v>
      </c>
      <c r="X40" s="68" t="str">
        <f>IFERROR(__xludf.DUMMYFUNCTION("""COMPUTED_VALUE"""),"Jah")</f>
        <v>Jah</v>
      </c>
      <c r="Y40" s="68" t="str">
        <f>IFERROR(__xludf.DUMMYFUNCTION("""COMPUTED_VALUE"""),"Parkla+tänav")</f>
        <v>Parkla+tänav</v>
      </c>
      <c r="Z40" s="68" t="str">
        <f>IFERROR(__xludf.DUMMYFUNCTION("""COMPUTED_VALUE"""),"Puudub")</f>
        <v>Puudub</v>
      </c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</row>
    <row r="41">
      <c r="A41" s="68" t="str">
        <f>IFERROR(__xludf.DUMMYFUNCTION("""COMPUTED_VALUE"""),"Tartu Mänguasjamuuseum")</f>
        <v>Tartu Mänguasjamuuseum</v>
      </c>
      <c r="B41" s="68" t="str">
        <f>IFERROR(__xludf.DUMMYFUNCTION("""COMPUTED_VALUE"""),"Tartu linn")</f>
        <v>Tartu linn</v>
      </c>
      <c r="C41" s="68" t="str">
        <f>IFERROR(__xludf.DUMMYFUNCTION("""COMPUTED_VALUE"""),"Muuseum")</f>
        <v>Muuseum</v>
      </c>
      <c r="D41" s="69" t="str">
        <f>IFERROR(__xludf.DUMMYFUNCTION("""COMPUTED_VALUE"""),"www.mm.ee")</f>
        <v>www.mm.ee</v>
      </c>
      <c r="E41" s="68" t="str">
        <f>IFERROR(__xludf.DUMMYFUNCTION("""COMPUTED_VALUE"""),"746 1060")</f>
        <v>746 1060</v>
      </c>
      <c r="F41" s="68" t="str">
        <f>IFERROR(__xludf.DUMMYFUNCTION("""COMPUTED_VALUE"""),"muuseum@mm.ee")</f>
        <v>muuseum@mm.ee</v>
      </c>
      <c r="G41" s="68" t="str">
        <f>IFERROR(__xludf.DUMMYFUNCTION("""COMPUTED_VALUE"""),"Küllike Grauberg")</f>
        <v>Küllike Grauberg</v>
      </c>
      <c r="H41" s="68" t="str">
        <f>IFERROR(__xludf.DUMMYFUNCTION("""COMPUTED_VALUE"""),"Lutsu 8, 51005")</f>
        <v>Lutsu 8, 51005</v>
      </c>
      <c r="I41" s="68" t="str">
        <f>IFERROR(__xludf.DUMMYFUNCTION("""COMPUTED_VALUE"""),"100+")</f>
        <v>100+</v>
      </c>
      <c r="J41" s="68" t="str">
        <f>IFERROR(__xludf.DUMMYFUNCTION("""COMPUTED_VALUE"""),"Jah")</f>
        <v>Jah</v>
      </c>
      <c r="K41" s="68" t="str">
        <f>IFERROR(__xludf.DUMMYFUNCTION("""COMPUTED_VALUE"""),"Esimene")</f>
        <v>Esimene</v>
      </c>
      <c r="L41" s="68">
        <f>IFERROR(__xludf.DUMMYFUNCTION("""COMPUTED_VALUE"""),60.0)</f>
        <v>60</v>
      </c>
      <c r="M41" s="68"/>
      <c r="N41" s="68">
        <f>IFERROR(__xludf.DUMMYFUNCTION("""COMPUTED_VALUE"""),40.0)</f>
        <v>40</v>
      </c>
      <c r="O41" s="68" t="str">
        <f>IFERROR(__xludf.DUMMYFUNCTION("""COMPUTED_VALUE"""),"Olemas")</f>
        <v>Olemas</v>
      </c>
      <c r="P41" s="68" t="str">
        <f>IFERROR(__xludf.DUMMYFUNCTION("""COMPUTED_VALUE"""),"Olemas")</f>
        <v>Olemas</v>
      </c>
      <c r="Q41" s="68" t="str">
        <f>IFERROR(__xludf.DUMMYFUNCTION("""COMPUTED_VALUE"""),"Olemas")</f>
        <v>Olemas</v>
      </c>
      <c r="R41" s="68"/>
      <c r="S41" s="68" t="str">
        <f>IFERROR(__xludf.DUMMYFUNCTION("""COMPUTED_VALUE"""),"Jah")</f>
        <v>Jah</v>
      </c>
      <c r="T41" s="68" t="str">
        <f>IFERROR(__xludf.DUMMYFUNCTION("""COMPUTED_VALUE"""),"Ei")</f>
        <v>Ei</v>
      </c>
      <c r="U41" s="68"/>
      <c r="V41" s="68" t="str">
        <f>IFERROR(__xludf.DUMMYFUNCTION("""COMPUTED_VALUE"""),"Jah")</f>
        <v>Jah</v>
      </c>
      <c r="W41" s="68" t="str">
        <f>IFERROR(__xludf.DUMMYFUNCTION("""COMPUTED_VALUE"""),"Jah")</f>
        <v>Jah</v>
      </c>
      <c r="X41" s="68" t="str">
        <f>IFERROR(__xludf.DUMMYFUNCTION("""COMPUTED_VALUE"""),"Jah")</f>
        <v>Jah</v>
      </c>
      <c r="Y41" s="68" t="str">
        <f>IFERROR(__xludf.DUMMYFUNCTION("""COMPUTED_VALUE"""),"Tänav")</f>
        <v>Tänav</v>
      </c>
      <c r="Z41" s="68" t="str">
        <f>IFERROR(__xludf.DUMMYFUNCTION("""COMPUTED_VALUE"""),"Sisehoov")</f>
        <v>Sisehoov</v>
      </c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</row>
    <row r="42">
      <c r="A42" s="68" t="str">
        <f>IFERROR(__xludf.DUMMYFUNCTION("""COMPUTED_VALUE"""),"Tartu Ülikooli Loodusmuuseum")</f>
        <v>Tartu Ülikooli Loodusmuuseum</v>
      </c>
      <c r="B42" s="68" t="str">
        <f>IFERROR(__xludf.DUMMYFUNCTION("""COMPUTED_VALUE"""),"Tartu linn")</f>
        <v>Tartu linn</v>
      </c>
      <c r="C42" s="68" t="str">
        <f>IFERROR(__xludf.DUMMYFUNCTION("""COMPUTED_VALUE"""),"Muuseum")</f>
        <v>Muuseum</v>
      </c>
      <c r="D42" s="69" t="str">
        <f>IFERROR(__xludf.DUMMYFUNCTION("""COMPUTED_VALUE"""),"www.natmuseum.ut.ee")</f>
        <v>www.natmuseum.ut.ee</v>
      </c>
      <c r="E42" s="68" t="str">
        <f>IFERROR(__xludf.DUMMYFUNCTION("""COMPUTED_VALUE"""),"737 6076")</f>
        <v>737 6076</v>
      </c>
      <c r="F42" s="68" t="str">
        <f>IFERROR(__xludf.DUMMYFUNCTION("""COMPUTED_VALUE"""),"loodusmuuseum@ut.ee")</f>
        <v>loodusmuuseum@ut.ee</v>
      </c>
      <c r="G42" s="68" t="str">
        <f>IFERROR(__xludf.DUMMYFUNCTION("""COMPUTED_VALUE"""),"Annely Jõgeva")</f>
        <v>Annely Jõgeva</v>
      </c>
      <c r="H42" s="68" t="str">
        <f>IFERROR(__xludf.DUMMYFUNCTION("""COMPUTED_VALUE"""),"Vanemuise 46, 50410")</f>
        <v>Vanemuise 46, 50410</v>
      </c>
      <c r="I42" s="68" t="str">
        <f>IFERROR(__xludf.DUMMYFUNCTION("""COMPUTED_VALUE"""),"300+")</f>
        <v>300+</v>
      </c>
      <c r="J42" s="68" t="str">
        <f>IFERROR(__xludf.DUMMYFUNCTION("""COMPUTED_VALUE"""),"Jah")</f>
        <v>Jah</v>
      </c>
      <c r="K42" s="68" t="str">
        <f>IFERROR(__xludf.DUMMYFUNCTION("""COMPUTED_VALUE"""),"Teine")</f>
        <v>Teine</v>
      </c>
      <c r="L42" s="68">
        <f>IFERROR(__xludf.DUMMYFUNCTION("""COMPUTED_VALUE"""),60.0)</f>
        <v>60</v>
      </c>
      <c r="M42" s="68"/>
      <c r="N42" s="68">
        <f>IFERROR(__xludf.DUMMYFUNCTION("""COMPUTED_VALUE"""),30.0)</f>
        <v>30</v>
      </c>
      <c r="O42" s="68" t="str">
        <f>IFERROR(__xludf.DUMMYFUNCTION("""COMPUTED_VALUE"""),"Olemas")</f>
        <v>Olemas</v>
      </c>
      <c r="P42" s="68" t="str">
        <f>IFERROR(__xludf.DUMMYFUNCTION("""COMPUTED_VALUE"""),"Puuduvad")</f>
        <v>Puuduvad</v>
      </c>
      <c r="Q42" s="68" t="str">
        <f>IFERROR(__xludf.DUMMYFUNCTION("""COMPUTED_VALUE"""),"Olemas")</f>
        <v>Olemas</v>
      </c>
      <c r="R42" s="68"/>
      <c r="S42" s="68" t="str">
        <f>IFERROR(__xludf.DUMMYFUNCTION("""COMPUTED_VALUE"""),"Jah")</f>
        <v>Jah</v>
      </c>
      <c r="T42" s="68" t="str">
        <f>IFERROR(__xludf.DUMMYFUNCTION("""COMPUTED_VALUE"""),"Seintele riputamisvõimalus")</f>
        <v>Seintele riputamisvõimalus</v>
      </c>
      <c r="U42" s="68"/>
      <c r="V42" s="68" t="str">
        <f>IFERROR(__xludf.DUMMYFUNCTION("""COMPUTED_VALUE"""),"Jah")</f>
        <v>Jah</v>
      </c>
      <c r="W42" s="68" t="str">
        <f>IFERROR(__xludf.DUMMYFUNCTION("""COMPUTED_VALUE"""),"Jah")</f>
        <v>Jah</v>
      </c>
      <c r="X42" s="68" t="str">
        <f>IFERROR(__xludf.DUMMYFUNCTION("""COMPUTED_VALUE"""),"Jah")</f>
        <v>Jah</v>
      </c>
      <c r="Y42" s="68" t="str">
        <f>IFERROR(__xludf.DUMMYFUNCTION("""COMPUTED_VALUE"""),"Tänav")</f>
        <v>Tänav</v>
      </c>
      <c r="Z42" s="68" t="str">
        <f>IFERROR(__xludf.DUMMYFUNCTION("""COMPUTED_VALUE"""),"Maja ees Hurda pargis")</f>
        <v>Maja ees Hurda pargis</v>
      </c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</row>
    <row r="43">
      <c r="A43" s="68" t="str">
        <f>IFERROR(__xludf.DUMMYFUNCTION("""COMPUTED_VALUE"""),"Tartu Ülikooli Botaanikaaed")</f>
        <v>Tartu Ülikooli Botaanikaaed</v>
      </c>
      <c r="B43" s="68" t="str">
        <f>IFERROR(__xludf.DUMMYFUNCTION("""COMPUTED_VALUE"""),"Tartu linn")</f>
        <v>Tartu linn</v>
      </c>
      <c r="C43" s="68" t="str">
        <f>IFERROR(__xludf.DUMMYFUNCTION("""COMPUTED_VALUE"""),"Muuseum")</f>
        <v>Muuseum</v>
      </c>
      <c r="D43" s="69" t="str">
        <f>IFERROR(__xludf.DUMMYFUNCTION("""COMPUTED_VALUE"""),"www.botaanikaaed.ut.ee")</f>
        <v>www.botaanikaaed.ut.ee</v>
      </c>
      <c r="E43" s="68" t="str">
        <f>IFERROR(__xludf.DUMMYFUNCTION("""COMPUTED_VALUE"""),"737 6180")</f>
        <v>737 6180</v>
      </c>
      <c r="F43" s="68" t="str">
        <f>IFERROR(__xludf.DUMMYFUNCTION("""COMPUTED_VALUE"""),"botaed@ut.ee")</f>
        <v>botaed@ut.ee</v>
      </c>
      <c r="G43" s="68" t="str">
        <f>IFERROR(__xludf.DUMMYFUNCTION("""COMPUTED_VALUE"""),"Annely Jõgeva")</f>
        <v>Annely Jõgeva</v>
      </c>
      <c r="H43" s="68" t="str">
        <f>IFERROR(__xludf.DUMMYFUNCTION("""COMPUTED_VALUE"""),"Lai 38, 51005")</f>
        <v>Lai 38, 51005</v>
      </c>
      <c r="I43" s="68" t="str">
        <f>IFERROR(__xludf.DUMMYFUNCTION("""COMPUTED_VALUE"""),"200+")</f>
        <v>200+</v>
      </c>
      <c r="J43" s="68" t="str">
        <f>IFERROR(__xludf.DUMMYFUNCTION("""COMPUTED_VALUE"""),"Jah")</f>
        <v>Jah</v>
      </c>
      <c r="K43" s="68" t="str">
        <f>IFERROR(__xludf.DUMMYFUNCTION("""COMPUTED_VALUE"""),"Esimene")</f>
        <v>Esimene</v>
      </c>
      <c r="L43" s="68">
        <f>IFERROR(__xludf.DUMMYFUNCTION("""COMPUTED_VALUE"""),50.0)</f>
        <v>50</v>
      </c>
      <c r="M43" s="68"/>
      <c r="N43" s="68">
        <f>IFERROR(__xludf.DUMMYFUNCTION("""COMPUTED_VALUE"""),30.0)</f>
        <v>30</v>
      </c>
      <c r="O43" s="68" t="str">
        <f>IFERROR(__xludf.DUMMYFUNCTION("""COMPUTED_VALUE"""),"Olemas")</f>
        <v>Olemas</v>
      </c>
      <c r="P43" s="68" t="str">
        <f>IFERROR(__xludf.DUMMYFUNCTION("""COMPUTED_VALUE"""),"Puuduvad")</f>
        <v>Puuduvad</v>
      </c>
      <c r="Q43" s="68" t="str">
        <f>IFERROR(__xludf.DUMMYFUNCTION("""COMPUTED_VALUE"""),"Olemas")</f>
        <v>Olemas</v>
      </c>
      <c r="R43" s="68"/>
      <c r="S43" s="68" t="str">
        <f>IFERROR(__xludf.DUMMYFUNCTION("""COMPUTED_VALUE"""),"Jah")</f>
        <v>Jah</v>
      </c>
      <c r="T43" s="68" t="str">
        <f>IFERROR(__xludf.DUMMYFUNCTION("""COMPUTED_VALUE"""),"Ei")</f>
        <v>Ei</v>
      </c>
      <c r="U43" s="68"/>
      <c r="V43" s="68" t="str">
        <f>IFERROR(__xludf.DUMMYFUNCTION("""COMPUTED_VALUE"""),"Jah")</f>
        <v>Jah</v>
      </c>
      <c r="W43" s="68" t="str">
        <f>IFERROR(__xludf.DUMMYFUNCTION("""COMPUTED_VALUE"""),"Jah")</f>
        <v>Jah</v>
      </c>
      <c r="X43" s="68" t="str">
        <f>IFERROR(__xludf.DUMMYFUNCTION("""COMPUTED_VALUE"""),"Jah")</f>
        <v>Jah</v>
      </c>
      <c r="Y43" s="68" t="str">
        <f>IFERROR(__xludf.DUMMYFUNCTION("""COMPUTED_VALUE"""),"Tänaval")</f>
        <v>Tänaval</v>
      </c>
      <c r="Z43" s="68" t="str">
        <f>IFERROR(__xludf.DUMMYFUNCTION("""COMPUTED_VALUE"""),"Tänaval")</f>
        <v>Tänaval</v>
      </c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</row>
    <row r="44">
      <c r="A44" s="68" t="str">
        <f>IFERROR(__xludf.DUMMYFUNCTION("""COMPUTED_VALUE"""),"Tartu Ülikooli Muuseum ")</f>
        <v>Tartu Ülikooli Muuseum </v>
      </c>
      <c r="B44" s="68" t="str">
        <f>IFERROR(__xludf.DUMMYFUNCTION("""COMPUTED_VALUE"""),"Tartu linn")</f>
        <v>Tartu linn</v>
      </c>
      <c r="C44" s="68" t="str">
        <f>IFERROR(__xludf.DUMMYFUNCTION("""COMPUTED_VALUE"""),"Muuseum")</f>
        <v>Muuseum</v>
      </c>
      <c r="D44" s="69" t="str">
        <f>IFERROR(__xludf.DUMMYFUNCTION("""COMPUTED_VALUE"""),"www.muuseum.ut.ee")</f>
        <v>www.muuseum.ut.ee</v>
      </c>
      <c r="E44" s="68" t="str">
        <f>IFERROR(__xludf.DUMMYFUNCTION("""COMPUTED_VALUE"""),"737 5674")</f>
        <v>737 5674</v>
      </c>
      <c r="F44" s="68" t="str">
        <f>IFERROR(__xludf.DUMMYFUNCTION("""COMPUTED_VALUE"""),"muuseum@ut.ee")</f>
        <v>muuseum@ut.ee</v>
      </c>
      <c r="G44" s="68" t="str">
        <f>IFERROR(__xludf.DUMMYFUNCTION("""COMPUTED_VALUE"""),"Ülle Naur")</f>
        <v>Ülle Naur</v>
      </c>
      <c r="H44" s="68" t="str">
        <f>IFERROR(__xludf.DUMMYFUNCTION("""COMPUTED_VALUE"""),"Lossi 25, 51003")</f>
        <v>Lossi 25, 51003</v>
      </c>
      <c r="I44" s="68" t="str">
        <f>IFERROR(__xludf.DUMMYFUNCTION("""COMPUTED_VALUE"""),"300+")</f>
        <v>300+</v>
      </c>
      <c r="J44" s="68" t="str">
        <f>IFERROR(__xludf.DUMMYFUNCTION("""COMPUTED_VALUE"""),"Jah")</f>
        <v>Jah</v>
      </c>
      <c r="K44" s="68" t="str">
        <f>IFERROR(__xludf.DUMMYFUNCTION("""COMPUTED_VALUE"""),"Kolmas")</f>
        <v>Kolmas</v>
      </c>
      <c r="L44" s="68">
        <f>IFERROR(__xludf.DUMMYFUNCTION("""COMPUTED_VALUE"""),300.0)</f>
        <v>300</v>
      </c>
      <c r="M44" s="68"/>
      <c r="N44" s="68">
        <f>IFERROR(__xludf.DUMMYFUNCTION("""COMPUTED_VALUE"""),100.0)</f>
        <v>100</v>
      </c>
      <c r="O44" s="68" t="str">
        <f>IFERROR(__xludf.DUMMYFUNCTION("""COMPUTED_VALUE"""),"Olemas")</f>
        <v>Olemas</v>
      </c>
      <c r="P44" s="68" t="str">
        <f>IFERROR(__xludf.DUMMYFUNCTION("""COMPUTED_VALUE"""),"Puuduvad")</f>
        <v>Puuduvad</v>
      </c>
      <c r="Q44" s="68" t="str">
        <f>IFERROR(__xludf.DUMMYFUNCTION("""COMPUTED_VALUE"""),"Olemas")</f>
        <v>Olemas</v>
      </c>
      <c r="R44" s="68"/>
      <c r="S44" s="68" t="str">
        <f>IFERROR(__xludf.DUMMYFUNCTION("""COMPUTED_VALUE"""),"Jah")</f>
        <v>Jah</v>
      </c>
      <c r="T44" s="68" t="str">
        <f>IFERROR(__xludf.DUMMYFUNCTION("""COMPUTED_VALUE"""),"Ei")</f>
        <v>Ei</v>
      </c>
      <c r="U44" s="68"/>
      <c r="V44" s="68" t="str">
        <f>IFERROR(__xludf.DUMMYFUNCTION("""COMPUTED_VALUE"""),"Jah")</f>
        <v>Jah</v>
      </c>
      <c r="W44" s="68" t="str">
        <f>IFERROR(__xludf.DUMMYFUNCTION("""COMPUTED_VALUE"""),"Jah")</f>
        <v>Jah</v>
      </c>
      <c r="X44" s="68" t="str">
        <f>IFERROR(__xludf.DUMMYFUNCTION("""COMPUTED_VALUE"""),"Jah")</f>
        <v>Jah</v>
      </c>
      <c r="Y44" s="68" t="str">
        <f>IFERROR(__xludf.DUMMYFUNCTION("""COMPUTED_VALUE"""),"Tänav+parkla")</f>
        <v>Tänav+parkla</v>
      </c>
      <c r="Z44" s="68" t="str">
        <f>IFERROR(__xludf.DUMMYFUNCTION("""COMPUTED_VALUE"""),"Toomkiriku varemetes 500+ inimest.")</f>
        <v>Toomkiriku varemetes 500+ inimest.</v>
      </c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</row>
    <row r="45">
      <c r="A45" s="68" t="str">
        <f>IFERROR(__xludf.DUMMYFUNCTION("""COMPUTED_VALUE"""),"Elektriteater/ Tartu Ülikooli kirik")</f>
        <v>Elektriteater/ Tartu Ülikooli kirik</v>
      </c>
      <c r="B45" s="68" t="str">
        <f>IFERROR(__xludf.DUMMYFUNCTION("""COMPUTED_VALUE"""),"Tartu linn")</f>
        <v>Tartu linn</v>
      </c>
      <c r="C45" s="68" t="str">
        <f>IFERROR(__xludf.DUMMYFUNCTION("""COMPUTED_VALUE"""),"Kino")</f>
        <v>Kino</v>
      </c>
      <c r="D45" s="69" t="str">
        <f>IFERROR(__xludf.DUMMYFUNCTION("""COMPUTED_VALUE"""),"www.elektriteater.ee")</f>
        <v>www.elektriteater.ee</v>
      </c>
      <c r="E45" s="68" t="str">
        <f>IFERROR(__xludf.DUMMYFUNCTION("""COMPUTED_VALUE"""),"5887 7807")</f>
        <v>5887 7807</v>
      </c>
      <c r="F45" s="68" t="str">
        <f>IFERROR(__xludf.DUMMYFUNCTION("""COMPUTED_VALUE"""),"info@elektriteater.ee")</f>
        <v>info@elektriteater.ee</v>
      </c>
      <c r="G45" s="68" t="str">
        <f>IFERROR(__xludf.DUMMYFUNCTION("""COMPUTED_VALUE"""),"Andres Kauts")</f>
        <v>Andres Kauts</v>
      </c>
      <c r="H45" s="68" t="str">
        <f>IFERROR(__xludf.DUMMYFUNCTION("""COMPUTED_VALUE"""),"Jakobi 1, 51005")</f>
        <v>Jakobi 1, 51005</v>
      </c>
      <c r="I45" s="68" t="str">
        <f>IFERROR(__xludf.DUMMYFUNCTION("""COMPUTED_VALUE"""),"200+")</f>
        <v>200+</v>
      </c>
      <c r="J45" s="68" t="str">
        <f>IFERROR(__xludf.DUMMYFUNCTION("""COMPUTED_VALUE"""),"Jah")</f>
        <v>Jah</v>
      </c>
      <c r="K45" s="68" t="str">
        <f>IFERROR(__xludf.DUMMYFUNCTION("""COMPUTED_VALUE"""),"Teine")</f>
        <v>Teine</v>
      </c>
      <c r="L45" s="68">
        <f>IFERROR(__xludf.DUMMYFUNCTION("""COMPUTED_VALUE"""),120.0)</f>
        <v>120</v>
      </c>
      <c r="M45" s="68"/>
      <c r="N45" s="68"/>
      <c r="O45" s="68" t="str">
        <f>IFERROR(__xludf.DUMMYFUNCTION("""COMPUTED_VALUE"""),"Olemas")</f>
        <v>Olemas</v>
      </c>
      <c r="P45" s="68" t="str">
        <f>IFERROR(__xludf.DUMMYFUNCTION("""COMPUTED_VALUE"""),"Olemas")</f>
        <v>Olemas</v>
      </c>
      <c r="Q45" s="68" t="str">
        <f>IFERROR(__xludf.DUMMYFUNCTION("""COMPUTED_VALUE"""),"Olemas")</f>
        <v>Olemas</v>
      </c>
      <c r="R45" s="68"/>
      <c r="S45" s="68" t="str">
        <f>IFERROR(__xludf.DUMMYFUNCTION("""COMPUTED_VALUE"""),"Ei")</f>
        <v>Ei</v>
      </c>
      <c r="T45" s="68" t="str">
        <f>IFERROR(__xludf.DUMMYFUNCTION("""COMPUTED_VALUE"""),"Seintele riputamisvõimalus")</f>
        <v>Seintele riputamisvõimalus</v>
      </c>
      <c r="U45" s="68"/>
      <c r="V45" s="68" t="str">
        <f>IFERROR(__xludf.DUMMYFUNCTION("""COMPUTED_VALUE"""),"Ei")</f>
        <v>Ei</v>
      </c>
      <c r="W45" s="68" t="str">
        <f>IFERROR(__xludf.DUMMYFUNCTION("""COMPUTED_VALUE"""),"Jah")</f>
        <v>Jah</v>
      </c>
      <c r="X45" s="68" t="str">
        <f>IFERROR(__xludf.DUMMYFUNCTION("""COMPUTED_VALUE"""),"Jah")</f>
        <v>Jah</v>
      </c>
      <c r="Y45" s="68" t="str">
        <f>IFERROR(__xludf.DUMMYFUNCTION("""COMPUTED_VALUE"""),"Tänav")</f>
        <v>Tänav</v>
      </c>
      <c r="Z45" s="68" t="str">
        <f>IFERROR(__xludf.DUMMYFUNCTION("""COMPUTED_VALUE"""),"Ülikooli peahoone hoovis")</f>
        <v>Ülikooli peahoone hoovis</v>
      </c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</row>
    <row r="46">
      <c r="A46" s="68" t="str">
        <f>IFERROR(__xludf.DUMMYFUNCTION("""COMPUTED_VALUE"""),"Apollo kino Eedeni keskus")</f>
        <v>Apollo kino Eedeni keskus</v>
      </c>
      <c r="B46" s="68" t="str">
        <f>IFERROR(__xludf.DUMMYFUNCTION("""COMPUTED_VALUE"""),"Tartu linn")</f>
        <v>Tartu linn</v>
      </c>
      <c r="C46" s="68" t="str">
        <f>IFERROR(__xludf.DUMMYFUNCTION("""COMPUTED_VALUE"""),"Kino")</f>
        <v>Kino</v>
      </c>
      <c r="D46" s="69" t="str">
        <f>IFERROR(__xludf.DUMMYFUNCTION("""COMPUTED_VALUE"""),"www.apollokino.ee")</f>
        <v>www.apollokino.ee</v>
      </c>
      <c r="E46" s="68" t="str">
        <f>IFERROR(__xludf.DUMMYFUNCTION("""COMPUTED_VALUE"""),"633 6020")</f>
        <v>633 6020</v>
      </c>
      <c r="F46" s="68" t="str">
        <f>IFERROR(__xludf.DUMMYFUNCTION("""COMPUTED_VALUE"""),"event@apollokino.ee")</f>
        <v>event@apollokino.ee</v>
      </c>
      <c r="G46" s="68"/>
      <c r="H46" s="68" t="str">
        <f>IFERROR(__xludf.DUMMYFUNCTION("""COMPUTED_VALUE"""),"Kalda tee 1c, 50104")</f>
        <v>Kalda tee 1c, 50104</v>
      </c>
      <c r="I46" s="68" t="str">
        <f>IFERROR(__xludf.DUMMYFUNCTION("""COMPUTED_VALUE"""),"511")</f>
        <v>511</v>
      </c>
      <c r="J46" s="68" t="str">
        <f>IFERROR(__xludf.DUMMYFUNCTION("""COMPUTED_VALUE"""),"Jah")</f>
        <v>Jah</v>
      </c>
      <c r="K46" s="68" t="str">
        <f>IFERROR(__xludf.DUMMYFUNCTION("""COMPUTED_VALUE"""),"Teine")</f>
        <v>Teine</v>
      </c>
      <c r="L46" s="68">
        <f>IFERROR(__xludf.DUMMYFUNCTION("""COMPUTED_VALUE"""),264.0)</f>
        <v>264</v>
      </c>
      <c r="M46" s="68"/>
      <c r="N46" s="68">
        <f>IFERROR(__xludf.DUMMYFUNCTION("""COMPUTED_VALUE"""),121.0)</f>
        <v>121</v>
      </c>
      <c r="O46" s="68" t="str">
        <f>IFERROR(__xludf.DUMMYFUNCTION("""COMPUTED_VALUE"""),"Olemas")</f>
        <v>Olemas</v>
      </c>
      <c r="P46" s="68" t="str">
        <f>IFERROR(__xludf.DUMMYFUNCTION("""COMPUTED_VALUE"""),"Olemas")</f>
        <v>Olemas</v>
      </c>
      <c r="Q46" s="68" t="str">
        <f>IFERROR(__xludf.DUMMYFUNCTION("""COMPUTED_VALUE"""),"Olemas")</f>
        <v>Olemas</v>
      </c>
      <c r="R46" s="68"/>
      <c r="S46" s="68" t="str">
        <f>IFERROR(__xludf.DUMMYFUNCTION("""COMPUTED_VALUE"""),"Ei")</f>
        <v>Ei</v>
      </c>
      <c r="T46" s="68" t="str">
        <f>IFERROR(__xludf.DUMMYFUNCTION("""COMPUTED_VALUE"""),"Ei")</f>
        <v>Ei</v>
      </c>
      <c r="U46" s="68"/>
      <c r="V46" s="68" t="str">
        <f>IFERROR(__xludf.DUMMYFUNCTION("""COMPUTED_VALUE"""),"Jah")</f>
        <v>Jah</v>
      </c>
      <c r="W46" s="68" t="str">
        <f>IFERROR(__xludf.DUMMYFUNCTION("""COMPUTED_VALUE"""),"Jah")</f>
        <v>Jah</v>
      </c>
      <c r="X46" s="68" t="str">
        <f>IFERROR(__xludf.DUMMYFUNCTION("""COMPUTED_VALUE"""),"Jah")</f>
        <v>Jah</v>
      </c>
      <c r="Y46" s="68" t="str">
        <f>IFERROR(__xludf.DUMMYFUNCTION("""COMPUTED_VALUE"""),"Parklad")</f>
        <v>Parklad</v>
      </c>
      <c r="Z46" s="68" t="str">
        <f>IFERROR(__xludf.DUMMYFUNCTION("""COMPUTED_VALUE"""),"Puudub")</f>
        <v>Puudub</v>
      </c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</row>
    <row r="47">
      <c r="A47" s="68" t="str">
        <f>IFERROR(__xludf.DUMMYFUNCTION("""COMPUTED_VALUE"""),"Apollo kino Lõunakeskuses")</f>
        <v>Apollo kino Lõunakeskuses</v>
      </c>
      <c r="B47" s="68" t="str">
        <f>IFERROR(__xludf.DUMMYFUNCTION("""COMPUTED_VALUE"""),"Tartu linn")</f>
        <v>Tartu linn</v>
      </c>
      <c r="C47" s="68" t="str">
        <f>IFERROR(__xludf.DUMMYFUNCTION("""COMPUTED_VALUE"""),"Kino")</f>
        <v>Kino</v>
      </c>
      <c r="D47" s="69" t="str">
        <f>IFERROR(__xludf.DUMMYFUNCTION("""COMPUTED_VALUE"""),"www.apollokino.ee")</f>
        <v>www.apollokino.ee</v>
      </c>
      <c r="E47" s="68" t="str">
        <f>IFERROR(__xludf.DUMMYFUNCTION("""COMPUTED_VALUE"""),"633 6020")</f>
        <v>633 6020</v>
      </c>
      <c r="F47" s="68" t="str">
        <f>IFERROR(__xludf.DUMMYFUNCTION("""COMPUTED_VALUE"""),"event@apollokino.ee")</f>
        <v>event@apollokino.ee</v>
      </c>
      <c r="G47" s="68"/>
      <c r="H47" s="68" t="str">
        <f>IFERROR(__xludf.DUMMYFUNCTION("""COMPUTED_VALUE"""),"Ringtee 75, 50501")</f>
        <v>Ringtee 75, 50501</v>
      </c>
      <c r="I47" s="68" t="str">
        <f>IFERROR(__xludf.DUMMYFUNCTION("""COMPUTED_VALUE"""),"947")</f>
        <v>947</v>
      </c>
      <c r="J47" s="68" t="str">
        <f>IFERROR(__xludf.DUMMYFUNCTION("""COMPUTED_VALUE"""),"Jah")</f>
        <v>Jah</v>
      </c>
      <c r="K47" s="68" t="str">
        <f>IFERROR(__xludf.DUMMYFUNCTION("""COMPUTED_VALUE"""),"Teine")</f>
        <v>Teine</v>
      </c>
      <c r="L47" s="68">
        <f>IFERROR(__xludf.DUMMYFUNCTION("""COMPUTED_VALUE"""),317.0)</f>
        <v>317</v>
      </c>
      <c r="M47" s="68"/>
      <c r="N47" s="68">
        <f>IFERROR(__xludf.DUMMYFUNCTION("""COMPUTED_VALUE"""),163.0)</f>
        <v>163</v>
      </c>
      <c r="O47" s="68" t="str">
        <f>IFERROR(__xludf.DUMMYFUNCTION("""COMPUTED_VALUE"""),"Olemas")</f>
        <v>Olemas</v>
      </c>
      <c r="P47" s="68" t="str">
        <f>IFERROR(__xludf.DUMMYFUNCTION("""COMPUTED_VALUE"""),"Olemas")</f>
        <v>Olemas</v>
      </c>
      <c r="Q47" s="68" t="str">
        <f>IFERROR(__xludf.DUMMYFUNCTION("""COMPUTED_VALUE"""),"Olemas")</f>
        <v>Olemas</v>
      </c>
      <c r="R47" s="68"/>
      <c r="S47" s="68" t="str">
        <f>IFERROR(__xludf.DUMMYFUNCTION("""COMPUTED_VALUE"""),"Ei")</f>
        <v>Ei</v>
      </c>
      <c r="T47" s="68" t="str">
        <f>IFERROR(__xludf.DUMMYFUNCTION("""COMPUTED_VALUE"""),"Ei")</f>
        <v>Ei</v>
      </c>
      <c r="U47" s="68"/>
      <c r="V47" s="68" t="str">
        <f>IFERROR(__xludf.DUMMYFUNCTION("""COMPUTED_VALUE"""),"Jah")</f>
        <v>Jah</v>
      </c>
      <c r="W47" s="68" t="str">
        <f>IFERROR(__xludf.DUMMYFUNCTION("""COMPUTED_VALUE"""),"Jah")</f>
        <v>Jah</v>
      </c>
      <c r="X47" s="68" t="str">
        <f>IFERROR(__xludf.DUMMYFUNCTION("""COMPUTED_VALUE"""),"Jah")</f>
        <v>Jah</v>
      </c>
      <c r="Y47" s="68" t="str">
        <f>IFERROR(__xludf.DUMMYFUNCTION("""COMPUTED_VALUE"""),"Parklad")</f>
        <v>Parklad</v>
      </c>
      <c r="Z47" s="68" t="str">
        <f>IFERROR(__xludf.DUMMYFUNCTION("""COMPUTED_VALUE"""),"Puudub")</f>
        <v>Puudub</v>
      </c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>
      <c r="A48" s="68" t="str">
        <f>IFERROR(__xludf.DUMMYFUNCTION("""COMPUTED_VALUE"""),"End. Athena Keskus")</f>
        <v>End. Athena Keskus</v>
      </c>
      <c r="B48" s="68" t="str">
        <f>IFERROR(__xludf.DUMMYFUNCTION("""COMPUTED_VALUE"""),"Tartu linn")</f>
        <v>Tartu linn</v>
      </c>
      <c r="C48" s="68" t="str">
        <f>IFERROR(__xludf.DUMMYFUNCTION("""COMPUTED_VALUE"""),"Kino")</f>
        <v>Kino</v>
      </c>
      <c r="D48" s="69" t="str">
        <f>IFERROR(__xludf.DUMMYFUNCTION("""COMPUTED_VALUE"""),"www.luterlik.edu.ee/athena-keskus/")</f>
        <v>www.luterlik.edu.ee/athena-keskus/</v>
      </c>
      <c r="E48" s="68" t="str">
        <f>IFERROR(__xludf.DUMMYFUNCTION("""COMPUTED_VALUE"""),"5563 1359")</f>
        <v>5563 1359</v>
      </c>
      <c r="F48" s="68" t="str">
        <f>IFERROR(__xludf.DUMMYFUNCTION("""COMPUTED_VALUE"""),"athena@luterlik.edu.ee")</f>
        <v>athena@luterlik.edu.ee</v>
      </c>
      <c r="G48" s="68" t="str">
        <f>IFERROR(__xludf.DUMMYFUNCTION("""COMPUTED_VALUE"""),"Kairi Kuusik")</f>
        <v>Kairi Kuusik</v>
      </c>
      <c r="H48" s="68" t="str">
        <f>IFERROR(__xludf.DUMMYFUNCTION("""COMPUTED_VALUE"""),"Küütri 1, 51007")</f>
        <v>Küütri 1, 51007</v>
      </c>
      <c r="I48" s="68" t="str">
        <f>IFERROR(__xludf.DUMMYFUNCTION("""COMPUTED_VALUE"""),"400+")</f>
        <v>400+</v>
      </c>
      <c r="J48" s="68" t="str">
        <f>IFERROR(__xludf.DUMMYFUNCTION("""COMPUTED_VALUE"""),"Jah")</f>
        <v>Jah</v>
      </c>
      <c r="K48" s="68" t="str">
        <f>IFERROR(__xludf.DUMMYFUNCTION("""COMPUTED_VALUE"""),"Teine")</f>
        <v>Teine</v>
      </c>
      <c r="L48" s="68">
        <f>IFERROR(__xludf.DUMMYFUNCTION("""COMPUTED_VALUE"""),238.0)</f>
        <v>238</v>
      </c>
      <c r="M48" s="68" t="str">
        <f>IFERROR(__xludf.DUMMYFUNCTION("""COMPUTED_VALUE"""),"10x7")</f>
        <v>10x7</v>
      </c>
      <c r="N48" s="68">
        <f>IFERROR(__xludf.DUMMYFUNCTION("""COMPUTED_VALUE"""),100.0)</f>
        <v>100</v>
      </c>
      <c r="O48" s="68" t="str">
        <f>IFERROR(__xludf.DUMMYFUNCTION("""COMPUTED_VALUE"""),"Olemas")</f>
        <v>Olemas</v>
      </c>
      <c r="P48" s="68" t="str">
        <f>IFERROR(__xludf.DUMMYFUNCTION("""COMPUTED_VALUE"""),"Olemas")</f>
        <v>Olemas</v>
      </c>
      <c r="Q48" s="68" t="str">
        <f>IFERROR(__xludf.DUMMYFUNCTION("""COMPUTED_VALUE"""),"Olemas")</f>
        <v>Olemas</v>
      </c>
      <c r="R48" s="68"/>
      <c r="S48" s="68" t="str">
        <f>IFERROR(__xludf.DUMMYFUNCTION("""COMPUTED_VALUE"""),"Jah")</f>
        <v>Jah</v>
      </c>
      <c r="T48" s="68" t="str">
        <f>IFERROR(__xludf.DUMMYFUNCTION("""COMPUTED_VALUE"""),"Seintele riputamisvõimalus")</f>
        <v>Seintele riputamisvõimalus</v>
      </c>
      <c r="U48" s="68"/>
      <c r="V48" s="68" t="str">
        <f>IFERROR(__xludf.DUMMYFUNCTION("""COMPUTED_VALUE"""),"Jah")</f>
        <v>Jah</v>
      </c>
      <c r="W48" s="68" t="str">
        <f>IFERROR(__xludf.DUMMYFUNCTION("""COMPUTED_VALUE"""),"Jah")</f>
        <v>Jah</v>
      </c>
      <c r="X48" s="68" t="str">
        <f>IFERROR(__xludf.DUMMYFUNCTION("""COMPUTED_VALUE"""),"Jah")</f>
        <v>Jah</v>
      </c>
      <c r="Y48" s="68" t="str">
        <f>IFERROR(__xludf.DUMMYFUNCTION("""COMPUTED_VALUE"""),"Tänaval")</f>
        <v>Tänaval</v>
      </c>
      <c r="Z48" s="68" t="str">
        <f>IFERROR(__xludf.DUMMYFUNCTION("""COMPUTED_VALUE"""),"Puudub")</f>
        <v>Puudub</v>
      </c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</row>
    <row r="49">
      <c r="A49" s="68" t="str">
        <f>IFERROR(__xludf.DUMMYFUNCTION("""COMPUTED_VALUE"""),"Tartu Oskar Lutsu nimeline Linnaraamatukogu")</f>
        <v>Tartu Oskar Lutsu nimeline Linnaraamatukogu</v>
      </c>
      <c r="B49" s="68" t="str">
        <f>IFERROR(__xludf.DUMMYFUNCTION("""COMPUTED_VALUE"""),"Tartu linn")</f>
        <v>Tartu linn</v>
      </c>
      <c r="C49" s="68" t="str">
        <f>IFERROR(__xludf.DUMMYFUNCTION("""COMPUTED_VALUE"""),"Raamatukogu")</f>
        <v>Raamatukogu</v>
      </c>
      <c r="D49" s="69" t="str">
        <f>IFERROR(__xludf.DUMMYFUNCTION("""COMPUTED_VALUE"""),"www.luts.ee")</f>
        <v>www.luts.ee</v>
      </c>
      <c r="E49" s="68" t="str">
        <f>IFERROR(__xludf.DUMMYFUNCTION("""COMPUTED_VALUE"""),"736 1370")</f>
        <v>736 1370</v>
      </c>
      <c r="F49" s="68" t="str">
        <f>IFERROR(__xludf.DUMMYFUNCTION("""COMPUTED_VALUE"""),"oskar@luts.ee")</f>
        <v>oskar@luts.ee</v>
      </c>
      <c r="G49" s="68" t="str">
        <f>IFERROR(__xludf.DUMMYFUNCTION("""COMPUTED_VALUE"""),"Kristiina Selli-Tupits")</f>
        <v>Kristiina Selli-Tupits</v>
      </c>
      <c r="H49" s="68" t="str">
        <f>IFERROR(__xludf.DUMMYFUNCTION("""COMPUTED_VALUE"""),"Kompanii 3/5, 51004")</f>
        <v>Kompanii 3/5, 51004</v>
      </c>
      <c r="I49" s="68" t="str">
        <f>IFERROR(__xludf.DUMMYFUNCTION("""COMPUTED_VALUE"""),"100+")</f>
        <v>100+</v>
      </c>
      <c r="J49" s="68" t="str">
        <f>IFERROR(__xludf.DUMMYFUNCTION("""COMPUTED_VALUE"""),"Jah")</f>
        <v>Jah</v>
      </c>
      <c r="K49" s="68" t="str">
        <f>IFERROR(__xludf.DUMMYFUNCTION("""COMPUTED_VALUE"""),"Neljas")</f>
        <v>Neljas</v>
      </c>
      <c r="L49" s="68">
        <f>IFERROR(__xludf.DUMMYFUNCTION("""COMPUTED_VALUE"""),85.0)</f>
        <v>85</v>
      </c>
      <c r="M49" s="68"/>
      <c r="N49" s="68"/>
      <c r="O49" s="68" t="str">
        <f>IFERROR(__xludf.DUMMYFUNCTION("""COMPUTED_VALUE"""),"Olemas")</f>
        <v>Olemas</v>
      </c>
      <c r="P49" s="68" t="str">
        <f>IFERROR(__xludf.DUMMYFUNCTION("""COMPUTED_VALUE"""),"Puuduvad")</f>
        <v>Puuduvad</v>
      </c>
      <c r="Q49" s="68" t="str">
        <f>IFERROR(__xludf.DUMMYFUNCTION("""COMPUTED_VALUE"""),"Olemas")</f>
        <v>Olemas</v>
      </c>
      <c r="R49" s="68"/>
      <c r="S49" s="68" t="str">
        <f>IFERROR(__xludf.DUMMYFUNCTION("""COMPUTED_VALUE"""),"Jah")</f>
        <v>Jah</v>
      </c>
      <c r="T49" s="68" t="str">
        <f>IFERROR(__xludf.DUMMYFUNCTION("""COMPUTED_VALUE"""),"Seintele riputamisvõimalus")</f>
        <v>Seintele riputamisvõimalus</v>
      </c>
      <c r="U49" s="68"/>
      <c r="V49" s="68" t="str">
        <f>IFERROR(__xludf.DUMMYFUNCTION("""COMPUTED_VALUE"""),"Jah")</f>
        <v>Jah</v>
      </c>
      <c r="W49" s="68" t="str">
        <f>IFERROR(__xludf.DUMMYFUNCTION("""COMPUTED_VALUE"""),"Jah")</f>
        <v>Jah</v>
      </c>
      <c r="X49" s="68" t="str">
        <f>IFERROR(__xludf.DUMMYFUNCTION("""COMPUTED_VALUE"""),"Jah")</f>
        <v>Jah</v>
      </c>
      <c r="Y49" s="68" t="str">
        <f>IFERROR(__xludf.DUMMYFUNCTION("""COMPUTED_VALUE"""),"Tänaval/parklas")</f>
        <v>Tänaval/parklas</v>
      </c>
      <c r="Z49" s="68" t="str">
        <f>IFERROR(__xludf.DUMMYFUNCTION("""COMPUTED_VALUE"""),"Puudub")</f>
        <v>Puudub</v>
      </c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</row>
    <row r="50">
      <c r="A50" s="68" t="str">
        <f>IFERROR(__xludf.DUMMYFUNCTION("""COMPUTED_VALUE"""),"TÜ raamatukogu")</f>
        <v>TÜ raamatukogu</v>
      </c>
      <c r="B50" s="68" t="str">
        <f>IFERROR(__xludf.DUMMYFUNCTION("""COMPUTED_VALUE"""),"Tartu linn")</f>
        <v>Tartu linn</v>
      </c>
      <c r="C50" s="68" t="str">
        <f>IFERROR(__xludf.DUMMYFUNCTION("""COMPUTED_VALUE"""),"Raamatukogu")</f>
        <v>Raamatukogu</v>
      </c>
      <c r="D50" s="69" t="str">
        <f>IFERROR(__xludf.DUMMYFUNCTION("""COMPUTED_VALUE"""),"www.utlib.ut.ee")</f>
        <v>www.utlib.ut.ee</v>
      </c>
      <c r="E50" s="68" t="str">
        <f>IFERROR(__xludf.DUMMYFUNCTION("""COMPUTED_VALUE"""),"737 5727")</f>
        <v>737 5727</v>
      </c>
      <c r="F50" s="68" t="str">
        <f>IFERROR(__xludf.DUMMYFUNCTION("""COMPUTED_VALUE"""),"katriin.kaljovee@ut.ee")</f>
        <v>katriin.kaljovee@ut.ee</v>
      </c>
      <c r="G50" s="68" t="str">
        <f>IFERROR(__xludf.DUMMYFUNCTION("""COMPUTED_VALUE"""),"Katriin Kaljovee")</f>
        <v>Katriin Kaljovee</v>
      </c>
      <c r="H50" s="68" t="str">
        <f>IFERROR(__xludf.DUMMYFUNCTION("""COMPUTED_VALUE"""),"Wilhelm Struve 1, 50091")</f>
        <v>Wilhelm Struve 1, 50091</v>
      </c>
      <c r="I50" s="68" t="str">
        <f>IFERROR(__xludf.DUMMYFUNCTION("""COMPUTED_VALUE"""),"800+")</f>
        <v>800+</v>
      </c>
      <c r="J50" s="68" t="str">
        <f>IFERROR(__xludf.DUMMYFUNCTION("""COMPUTED_VALUE"""),"Jah")</f>
        <v>Jah</v>
      </c>
      <c r="K50" s="68" t="str">
        <f>IFERROR(__xludf.DUMMYFUNCTION("""COMPUTED_VALUE"""),"Teine")</f>
        <v>Teine</v>
      </c>
      <c r="L50" s="68">
        <f>IFERROR(__xludf.DUMMYFUNCTION("""COMPUTED_VALUE"""),200.0)</f>
        <v>200</v>
      </c>
      <c r="M50" s="68"/>
      <c r="N50" s="68">
        <f>IFERROR(__xludf.DUMMYFUNCTION("""COMPUTED_VALUE"""),58.0)</f>
        <v>58</v>
      </c>
      <c r="O50" s="68" t="str">
        <f>IFERROR(__xludf.DUMMYFUNCTION("""COMPUTED_VALUE"""),"Olemas")</f>
        <v>Olemas</v>
      </c>
      <c r="P50" s="68" t="str">
        <f>IFERROR(__xludf.DUMMYFUNCTION("""COMPUTED_VALUE"""),"Puuduvad")</f>
        <v>Puuduvad</v>
      </c>
      <c r="Q50" s="68" t="str">
        <f>IFERROR(__xludf.DUMMYFUNCTION("""COMPUTED_VALUE"""),"Olemas")</f>
        <v>Olemas</v>
      </c>
      <c r="R50" s="68"/>
      <c r="S50" s="68" t="str">
        <f>IFERROR(__xludf.DUMMYFUNCTION("""COMPUTED_VALUE"""),"Jah")</f>
        <v>Jah</v>
      </c>
      <c r="T50" s="68" t="str">
        <f>IFERROR(__xludf.DUMMYFUNCTION("""COMPUTED_VALUE"""),"Galeriivalgustus, stanged")</f>
        <v>Galeriivalgustus, stanged</v>
      </c>
      <c r="U50" s="68"/>
      <c r="V50" s="68" t="str">
        <f>IFERROR(__xludf.DUMMYFUNCTION("""COMPUTED_VALUE"""),"Jah")</f>
        <v>Jah</v>
      </c>
      <c r="W50" s="68" t="str">
        <f>IFERROR(__xludf.DUMMYFUNCTION("""COMPUTED_VALUE"""),"Jah")</f>
        <v>Jah</v>
      </c>
      <c r="X50" s="68" t="str">
        <f>IFERROR(__xludf.DUMMYFUNCTION("""COMPUTED_VALUE"""),"Jah")</f>
        <v>Jah</v>
      </c>
      <c r="Y50" s="68" t="str">
        <f>IFERROR(__xludf.DUMMYFUNCTION("""COMPUTED_VALUE"""),"Tänaval/parklas")</f>
        <v>Tänaval/parklas</v>
      </c>
      <c r="Z50" s="68" t="str">
        <f>IFERROR(__xludf.DUMMYFUNCTION("""COMPUTED_VALUE"""),"Terass/majaesine ")</f>
        <v>Terass/majaesine </v>
      </c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</row>
    <row r="51">
      <c r="A51" s="68" t="str">
        <f>IFERROR(__xludf.DUMMYFUNCTION("""COMPUTED_VALUE"""),"Tartu Loomemajanduskeskus")</f>
        <v>Tartu Loomemajanduskeskus</v>
      </c>
      <c r="B51" s="68" t="str">
        <f>IFERROR(__xludf.DUMMYFUNCTION("""COMPUTED_VALUE"""),"Tartu linn")</f>
        <v>Tartu linn</v>
      </c>
      <c r="C51" s="68" t="str">
        <f>IFERROR(__xludf.DUMMYFUNCTION("""COMPUTED_VALUE"""),"Galerii")</f>
        <v>Galerii</v>
      </c>
      <c r="D51" s="69" t="str">
        <f>IFERROR(__xludf.DUMMYFUNCTION("""COMPUTED_VALUE"""),"www.loovtartu.ee")</f>
        <v>www.loovtartu.ee</v>
      </c>
      <c r="E51" s="68" t="str">
        <f>IFERROR(__xludf.DUMMYFUNCTION("""COMPUTED_VALUE"""),"5860 1704")</f>
        <v>5860 1704</v>
      </c>
      <c r="F51" s="68" t="str">
        <f>IFERROR(__xludf.DUMMYFUNCTION("""COMPUTED_VALUE"""),"kristjan@lmk.ee")</f>
        <v>kristjan@lmk.ee</v>
      </c>
      <c r="G51" s="68" t="str">
        <f>IFERROR(__xludf.DUMMYFUNCTION("""COMPUTED_VALUE"""),"Kristjan Kasemets")</f>
        <v>Kristjan Kasemets</v>
      </c>
      <c r="H51" s="68" t="str">
        <f>IFERROR(__xludf.DUMMYFUNCTION("""COMPUTED_VALUE"""),"Kalevi 13, 51010")</f>
        <v>Kalevi 13, 51010</v>
      </c>
      <c r="I51" s="68" t="str">
        <f>IFERROR(__xludf.DUMMYFUNCTION("""COMPUTED_VALUE"""),"200+")</f>
        <v>200+</v>
      </c>
      <c r="J51" s="68" t="str">
        <f>IFERROR(__xludf.DUMMYFUNCTION("""COMPUTED_VALUE"""),"Jah")</f>
        <v>Jah</v>
      </c>
      <c r="K51" s="68" t="str">
        <f>IFERROR(__xludf.DUMMYFUNCTION("""COMPUTED_VALUE"""),"Esimene")</f>
        <v>Esimene</v>
      </c>
      <c r="L51" s="68">
        <f>IFERROR(__xludf.DUMMYFUNCTION("""COMPUTED_VALUE"""),100.0)</f>
        <v>100</v>
      </c>
      <c r="M51" s="68"/>
      <c r="N51" s="68">
        <f>IFERROR(__xludf.DUMMYFUNCTION("""COMPUTED_VALUE"""),45.0)</f>
        <v>45</v>
      </c>
      <c r="O51" s="68" t="str">
        <f>IFERROR(__xludf.DUMMYFUNCTION("""COMPUTED_VALUE"""),"Olemas")</f>
        <v>Olemas</v>
      </c>
      <c r="P51" s="68" t="str">
        <f>IFERROR(__xludf.DUMMYFUNCTION("""COMPUTED_VALUE"""),"Puuduvad")</f>
        <v>Puuduvad</v>
      </c>
      <c r="Q51" s="68" t="str">
        <f>IFERROR(__xludf.DUMMYFUNCTION("""COMPUTED_VALUE"""),"Olemas")</f>
        <v>Olemas</v>
      </c>
      <c r="R51" s="68"/>
      <c r="S51" s="68" t="str">
        <f>IFERROR(__xludf.DUMMYFUNCTION("""COMPUTED_VALUE"""),"Jah")</f>
        <v>Jah</v>
      </c>
      <c r="T51" s="68" t="str">
        <f>IFERROR(__xludf.DUMMYFUNCTION("""COMPUTED_VALUE"""),"Seintele riputamisvõimalus")</f>
        <v>Seintele riputamisvõimalus</v>
      </c>
      <c r="U51" s="68"/>
      <c r="V51" s="68" t="str">
        <f>IFERROR(__xludf.DUMMYFUNCTION("""COMPUTED_VALUE"""),"Jah")</f>
        <v>Jah</v>
      </c>
      <c r="W51" s="68" t="str">
        <f>IFERROR(__xludf.DUMMYFUNCTION("""COMPUTED_VALUE"""),"Jah")</f>
        <v>Jah</v>
      </c>
      <c r="X51" s="68" t="str">
        <f>IFERROR(__xludf.DUMMYFUNCTION("""COMPUTED_VALUE"""),"Jah")</f>
        <v>Jah</v>
      </c>
      <c r="Y51" s="68" t="str">
        <f>IFERROR(__xludf.DUMMYFUNCTION("""COMPUTED_VALUE"""),"Tänaval/parklas")</f>
        <v>Tänaval/parklas</v>
      </c>
      <c r="Z51" s="68" t="str">
        <f>IFERROR(__xludf.DUMMYFUNCTION("""COMPUTED_VALUE"""),"Suur park, mahutab tuhandeid. ")</f>
        <v>Suur park, mahutab tuhandeid. </v>
      </c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</row>
    <row r="52">
      <c r="A52" s="68" t="str">
        <f>IFERROR(__xludf.DUMMYFUNCTION("""COMPUTED_VALUE"""),"Antoniuse õu")</f>
        <v>Antoniuse õu</v>
      </c>
      <c r="B52" s="68" t="str">
        <f>IFERROR(__xludf.DUMMYFUNCTION("""COMPUTED_VALUE"""),"Tartu linn")</f>
        <v>Tartu linn</v>
      </c>
      <c r="C52" s="68" t="str">
        <f>IFERROR(__xludf.DUMMYFUNCTION("""COMPUTED_VALUE"""),"Kultuurikeskus")</f>
        <v>Kultuurikeskus</v>
      </c>
      <c r="D52" s="69" t="str">
        <f>IFERROR(__xludf.DUMMYFUNCTION("""COMPUTED_VALUE"""),"www.loovtartu.ee/lmk/kylastajale/antonius")</f>
        <v>www.loovtartu.ee/lmk/kylastajale/antonius</v>
      </c>
      <c r="E52" s="68" t="str">
        <f>IFERROR(__xludf.DUMMYFUNCTION("""COMPUTED_VALUE"""),"5860 1704")</f>
        <v>5860 1704</v>
      </c>
      <c r="F52" s="68" t="str">
        <f>IFERROR(__xludf.DUMMYFUNCTION("""COMPUTED_VALUE"""),"kristjan@lmk.ee")</f>
        <v>kristjan@lmk.ee</v>
      </c>
      <c r="G52" s="68" t="str">
        <f>IFERROR(__xludf.DUMMYFUNCTION("""COMPUTED_VALUE"""),"Kristjan Kasemets")</f>
        <v>Kristjan Kasemets</v>
      </c>
      <c r="H52" s="68" t="str">
        <f>IFERROR(__xludf.DUMMYFUNCTION("""COMPUTED_VALUE"""),"Lutsu 3, 51006")</f>
        <v>Lutsu 3, 51006</v>
      </c>
      <c r="I52" s="68" t="str">
        <f>IFERROR(__xludf.DUMMYFUNCTION("""COMPUTED_VALUE"""),"100+")</f>
        <v>100+</v>
      </c>
      <c r="J52" s="68" t="str">
        <f>IFERROR(__xludf.DUMMYFUNCTION("""COMPUTED_VALUE"""),"Jah")</f>
        <v>Jah</v>
      </c>
      <c r="K52" s="68" t="str">
        <f>IFERROR(__xludf.DUMMYFUNCTION("""COMPUTED_VALUE"""),"Esimene")</f>
        <v>Esimene</v>
      </c>
      <c r="L52" s="68">
        <f>IFERROR(__xludf.DUMMYFUNCTION("""COMPUTED_VALUE"""),45.0)</f>
        <v>45</v>
      </c>
      <c r="M52" s="68"/>
      <c r="N52" s="68"/>
      <c r="O52" s="68" t="str">
        <f>IFERROR(__xludf.DUMMYFUNCTION("""COMPUTED_VALUE"""),"Olemas")</f>
        <v>Olemas</v>
      </c>
      <c r="P52" s="68" t="str">
        <f>IFERROR(__xludf.DUMMYFUNCTION("""COMPUTED_VALUE"""),"Puuduvad")</f>
        <v>Puuduvad</v>
      </c>
      <c r="Q52" s="68" t="str">
        <f>IFERROR(__xludf.DUMMYFUNCTION("""COMPUTED_VALUE"""),"Olemas")</f>
        <v>Olemas</v>
      </c>
      <c r="R52" s="68"/>
      <c r="S52" s="68" t="str">
        <f>IFERROR(__xludf.DUMMYFUNCTION("""COMPUTED_VALUE"""),"Jah")</f>
        <v>Jah</v>
      </c>
      <c r="T52" s="68" t="str">
        <f>IFERROR(__xludf.DUMMYFUNCTION("""COMPUTED_VALUE"""),"Seintele riputamisvõimalus")</f>
        <v>Seintele riputamisvõimalus</v>
      </c>
      <c r="U52" s="68"/>
      <c r="V52" s="68" t="str">
        <f>IFERROR(__xludf.DUMMYFUNCTION("""COMPUTED_VALUE"""),"Jah")</f>
        <v>Jah</v>
      </c>
      <c r="W52" s="68" t="str">
        <f>IFERROR(__xludf.DUMMYFUNCTION("""COMPUTED_VALUE"""),"Jah")</f>
        <v>Jah</v>
      </c>
      <c r="X52" s="68" t="str">
        <f>IFERROR(__xludf.DUMMYFUNCTION("""COMPUTED_VALUE"""),"Jah")</f>
        <v>Jah</v>
      </c>
      <c r="Y52" s="68" t="str">
        <f>IFERROR(__xludf.DUMMYFUNCTION("""COMPUTED_VALUE"""),"Tänaval")</f>
        <v>Tänaval</v>
      </c>
      <c r="Z52" s="68" t="str">
        <f>IFERROR(__xludf.DUMMYFUNCTION("""COMPUTED_VALUE"""),"Antoniuse õues, mahutavus 200+")</f>
        <v>Antoniuse õues, mahutavus 200+</v>
      </c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</row>
    <row r="53">
      <c r="A53" s="68" t="str">
        <f>IFERROR(__xludf.DUMMYFUNCTION("""COMPUTED_VALUE"""),"Kammivabriku saal")</f>
        <v>Kammivabriku saal</v>
      </c>
      <c r="B53" s="68" t="str">
        <f>IFERROR(__xludf.DUMMYFUNCTION("""COMPUTED_VALUE"""),"Tartu linn")</f>
        <v>Tartu linn</v>
      </c>
      <c r="C53" s="68" t="str">
        <f>IFERROR(__xludf.DUMMYFUNCTION("""COMPUTED_VALUE"""),"Sündmuskeskus")</f>
        <v>Sündmuskeskus</v>
      </c>
      <c r="D53" s="69" t="str">
        <f>IFERROR(__xludf.DUMMYFUNCTION("""COMPUTED_VALUE"""),"www.kammivabrik.ee")</f>
        <v>www.kammivabrik.ee</v>
      </c>
      <c r="E53" s="68" t="str">
        <f>IFERROR(__xludf.DUMMYFUNCTION("""COMPUTED_VALUE"""),"506 3448")</f>
        <v>506 3448</v>
      </c>
      <c r="F53" s="68" t="str">
        <f>IFERROR(__xludf.DUMMYFUNCTION("""COMPUTED_VALUE"""),"info@kammivabrik.ee")</f>
        <v>info@kammivabrik.ee</v>
      </c>
      <c r="G53" s="68" t="str">
        <f>IFERROR(__xludf.DUMMYFUNCTION("""COMPUTED_VALUE"""),"Sandra Tidor")</f>
        <v>Sandra Tidor</v>
      </c>
      <c r="H53" s="68" t="str">
        <f>IFERROR(__xludf.DUMMYFUNCTION("""COMPUTED_VALUE"""),"Teguri 26, 51013")</f>
        <v>Teguri 26, 51013</v>
      </c>
      <c r="I53" s="68" t="str">
        <f>IFERROR(__xludf.DUMMYFUNCTION("""COMPUTED_VALUE"""),"380")</f>
        <v>380</v>
      </c>
      <c r="J53" s="68" t="str">
        <f>IFERROR(__xludf.DUMMYFUNCTION("""COMPUTED_VALUE"""),"Jah")</f>
        <v>Jah</v>
      </c>
      <c r="K53" s="68" t="str">
        <f>IFERROR(__xludf.DUMMYFUNCTION("""COMPUTED_VALUE"""),"Teine")</f>
        <v>Teine</v>
      </c>
      <c r="L53" s="68">
        <f>IFERROR(__xludf.DUMMYFUNCTION("""COMPUTED_VALUE"""),280.0)</f>
        <v>280</v>
      </c>
      <c r="M53" s="68" t="str">
        <f>IFERROR(__xludf.DUMMYFUNCTION("""COMPUTED_VALUE"""),"8x5")</f>
        <v>8x5</v>
      </c>
      <c r="N53" s="68">
        <f>IFERROR(__xludf.DUMMYFUNCTION("""COMPUTED_VALUE"""),100.0)</f>
        <v>100</v>
      </c>
      <c r="O53" s="68" t="str">
        <f>IFERROR(__xludf.DUMMYFUNCTION("""COMPUTED_VALUE"""),"Puuduvad")</f>
        <v>Puuduvad</v>
      </c>
      <c r="P53" s="68" t="str">
        <f>IFERROR(__xludf.DUMMYFUNCTION("""COMPUTED_VALUE"""),"Puuduvad")</f>
        <v>Puuduvad</v>
      </c>
      <c r="Q53" s="68" t="str">
        <f>IFERROR(__xludf.DUMMYFUNCTION("""COMPUTED_VALUE"""),"Puuduvad")</f>
        <v>Puuduvad</v>
      </c>
      <c r="R53" s="68"/>
      <c r="S53" s="68" t="str">
        <f>IFERROR(__xludf.DUMMYFUNCTION("""COMPUTED_VALUE"""),"Ei")</f>
        <v>Ei</v>
      </c>
      <c r="T53" s="68" t="str">
        <f>IFERROR(__xludf.DUMMYFUNCTION("""COMPUTED_VALUE"""),"Seintele riputamisvõimalus")</f>
        <v>Seintele riputamisvõimalus</v>
      </c>
      <c r="U53" s="68"/>
      <c r="V53" s="68" t="str">
        <f>IFERROR(__xludf.DUMMYFUNCTION("""COMPUTED_VALUE"""),"Ei")</f>
        <v>Ei</v>
      </c>
      <c r="W53" s="68" t="str">
        <f>IFERROR(__xludf.DUMMYFUNCTION("""COMPUTED_VALUE"""),"Jah")</f>
        <v>Jah</v>
      </c>
      <c r="X53" s="68" t="str">
        <f>IFERROR(__xludf.DUMMYFUNCTION("""COMPUTED_VALUE"""),"Jah")</f>
        <v>Jah</v>
      </c>
      <c r="Y53" s="68" t="str">
        <f>IFERROR(__xludf.DUMMYFUNCTION("""COMPUTED_VALUE"""),"Tänaval")</f>
        <v>Tänaval</v>
      </c>
      <c r="Z53" s="68" t="str">
        <f>IFERROR(__xludf.DUMMYFUNCTION("""COMPUTED_VALUE"""),"Puudub")</f>
        <v>Puudub</v>
      </c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</row>
    <row r="54">
      <c r="A54" s="68" t="str">
        <f>IFERROR(__xludf.DUMMYFUNCTION("""COMPUTED_VALUE"""),"Kammivabriku tehasehoone")</f>
        <v>Kammivabriku tehasehoone</v>
      </c>
      <c r="B54" s="68" t="str">
        <f>IFERROR(__xludf.DUMMYFUNCTION("""COMPUTED_VALUE"""),"Tartu linn")</f>
        <v>Tartu linn</v>
      </c>
      <c r="C54" s="68" t="str">
        <f>IFERROR(__xludf.DUMMYFUNCTION("""COMPUTED_VALUE"""),"Sündmuskeskus")</f>
        <v>Sündmuskeskus</v>
      </c>
      <c r="D54" s="69" t="str">
        <f>IFERROR(__xludf.DUMMYFUNCTION("""COMPUTED_VALUE"""),"www.kammivabrik.ee")</f>
        <v>www.kammivabrik.ee</v>
      </c>
      <c r="E54" s="68" t="str">
        <f>IFERROR(__xludf.DUMMYFUNCTION("""COMPUTED_VALUE"""),"506 3448")</f>
        <v>506 3448</v>
      </c>
      <c r="F54" s="68" t="str">
        <f>IFERROR(__xludf.DUMMYFUNCTION("""COMPUTED_VALUE"""),"info@kammivabrik.ee")</f>
        <v>info@kammivabrik.ee</v>
      </c>
      <c r="G54" s="68" t="str">
        <f>IFERROR(__xludf.DUMMYFUNCTION("""COMPUTED_VALUE"""),"Sandra Tidor")</f>
        <v>Sandra Tidor</v>
      </c>
      <c r="H54" s="68" t="str">
        <f>IFERROR(__xludf.DUMMYFUNCTION("""COMPUTED_VALUE"""),"Teguri 28A, 51014")</f>
        <v>Teguri 28A, 51014</v>
      </c>
      <c r="I54" s="68" t="str">
        <f>IFERROR(__xludf.DUMMYFUNCTION("""COMPUTED_VALUE"""),"2000+")</f>
        <v>2000+</v>
      </c>
      <c r="J54" s="68" t="str">
        <f>IFERROR(__xludf.DUMMYFUNCTION("""COMPUTED_VALUE"""),"Jah")</f>
        <v>Jah</v>
      </c>
      <c r="K54" s="68" t="str">
        <f>IFERROR(__xludf.DUMMYFUNCTION("""COMPUTED_VALUE"""),"Esimene")</f>
        <v>Esimene</v>
      </c>
      <c r="L54" s="68">
        <f>IFERROR(__xludf.DUMMYFUNCTION("""COMPUTED_VALUE"""),2000.0)</f>
        <v>2000</v>
      </c>
      <c r="M54" s="68"/>
      <c r="N54" s="68"/>
      <c r="O54" s="68" t="str">
        <f>IFERROR(__xludf.DUMMYFUNCTION("""COMPUTED_VALUE"""),"Puuduvad")</f>
        <v>Puuduvad</v>
      </c>
      <c r="P54" s="68" t="str">
        <f>IFERROR(__xludf.DUMMYFUNCTION("""COMPUTED_VALUE"""),"Puuduvad")</f>
        <v>Puuduvad</v>
      </c>
      <c r="Q54" s="68" t="str">
        <f>IFERROR(__xludf.DUMMYFUNCTION("""COMPUTED_VALUE"""),"Puuduvad")</f>
        <v>Puuduvad</v>
      </c>
      <c r="R54" s="68"/>
      <c r="S54" s="68" t="str">
        <f>IFERROR(__xludf.DUMMYFUNCTION("""COMPUTED_VALUE"""),"Jah")</f>
        <v>Jah</v>
      </c>
      <c r="T54" s="68" t="str">
        <f>IFERROR(__xludf.DUMMYFUNCTION("""COMPUTED_VALUE"""),"Seintele riputamisvõimalus")</f>
        <v>Seintele riputamisvõimalus</v>
      </c>
      <c r="U54" s="68"/>
      <c r="V54" s="68" t="str">
        <f>IFERROR(__xludf.DUMMYFUNCTION("""COMPUTED_VALUE"""),"Jah")</f>
        <v>Jah</v>
      </c>
      <c r="W54" s="68" t="str">
        <f>IFERROR(__xludf.DUMMYFUNCTION("""COMPUTED_VALUE"""),"Jah")</f>
        <v>Jah</v>
      </c>
      <c r="X54" s="68" t="str">
        <f>IFERROR(__xludf.DUMMYFUNCTION("""COMPUTED_VALUE"""),"Jah")</f>
        <v>Jah</v>
      </c>
      <c r="Y54" s="68" t="str">
        <f>IFERROR(__xludf.DUMMYFUNCTION("""COMPUTED_VALUE"""),"Tänaval")</f>
        <v>Tänaval</v>
      </c>
      <c r="Z54" s="68" t="str">
        <f>IFERROR(__xludf.DUMMYFUNCTION("""COMPUTED_VALUE"""),"Puudub")</f>
        <v>Puudub</v>
      </c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</row>
    <row r="55">
      <c r="A55" s="68" t="str">
        <f>IFERROR(__xludf.DUMMYFUNCTION("""COMPUTED_VALUE"""),"Galerii Pallas")</f>
        <v>Galerii Pallas</v>
      </c>
      <c r="B55" s="68" t="str">
        <f>IFERROR(__xludf.DUMMYFUNCTION("""COMPUTED_VALUE"""),"Tartu linn")</f>
        <v>Tartu linn</v>
      </c>
      <c r="C55" s="68" t="str">
        <f>IFERROR(__xludf.DUMMYFUNCTION("""COMPUTED_VALUE"""),"Galerii")</f>
        <v>Galerii</v>
      </c>
      <c r="D55" s="69" t="str">
        <f>IFERROR(__xludf.DUMMYFUNCTION("""COMPUTED_VALUE"""),"www.pallasart.ee/galerii-pallas/")</f>
        <v>www.pallasart.ee/galerii-pallas/</v>
      </c>
      <c r="E55" s="68" t="str">
        <f>IFERROR(__xludf.DUMMYFUNCTION("""COMPUTED_VALUE"""),"734 9954")</f>
        <v>734 9954</v>
      </c>
      <c r="F55" s="68" t="str">
        <f>IFERROR(__xludf.DUMMYFUNCTION("""COMPUTED_VALUE"""),"galerii@pallasart.ee")</f>
        <v>galerii@pallasart.ee</v>
      </c>
      <c r="G55" s="68" t="str">
        <f>IFERROR(__xludf.DUMMYFUNCTION("""COMPUTED_VALUE"""),"Reet Pulk-Piatkowska")</f>
        <v>Reet Pulk-Piatkowska</v>
      </c>
      <c r="H55" s="68" t="str">
        <f>IFERROR(__xludf.DUMMYFUNCTION("""COMPUTED_VALUE"""),"Riia 11, 51010")</f>
        <v>Riia 11, 51010</v>
      </c>
      <c r="I55" s="68" t="str">
        <f>IFERROR(__xludf.DUMMYFUNCTION("""COMPUTED_VALUE"""),"200+")</f>
        <v>200+</v>
      </c>
      <c r="J55" s="68" t="str">
        <f>IFERROR(__xludf.DUMMYFUNCTION("""COMPUTED_VALUE"""),"Jah")</f>
        <v>Jah</v>
      </c>
      <c r="K55" s="68" t="str">
        <f>IFERROR(__xludf.DUMMYFUNCTION("""COMPUTED_VALUE"""),"Esimene")</f>
        <v>Esimene</v>
      </c>
      <c r="L55" s="68">
        <f>IFERROR(__xludf.DUMMYFUNCTION("""COMPUTED_VALUE"""),100.0)</f>
        <v>100</v>
      </c>
      <c r="M55" s="68"/>
      <c r="N55" s="68"/>
      <c r="O55" s="68" t="str">
        <f>IFERROR(__xludf.DUMMYFUNCTION("""COMPUTED_VALUE"""),"Olemas")</f>
        <v>Olemas</v>
      </c>
      <c r="P55" s="68" t="str">
        <f>IFERROR(__xludf.DUMMYFUNCTION("""COMPUTED_VALUE"""),"Puuduvad")</f>
        <v>Puuduvad</v>
      </c>
      <c r="Q55" s="68" t="str">
        <f>IFERROR(__xludf.DUMMYFUNCTION("""COMPUTED_VALUE"""),"Olemas")</f>
        <v>Olemas</v>
      </c>
      <c r="R55" s="68"/>
      <c r="S55" s="68" t="str">
        <f>IFERROR(__xludf.DUMMYFUNCTION("""COMPUTED_VALUE"""),"Jah")</f>
        <v>Jah</v>
      </c>
      <c r="T55" s="68" t="str">
        <f>IFERROR(__xludf.DUMMYFUNCTION("""COMPUTED_VALUE"""),"Galeriivalgustus, stanged ")</f>
        <v>Galeriivalgustus, stanged </v>
      </c>
      <c r="U55" s="68"/>
      <c r="V55" s="68" t="str">
        <f>IFERROR(__xludf.DUMMYFUNCTION("""COMPUTED_VALUE"""),"Jah")</f>
        <v>Jah</v>
      </c>
      <c r="W55" s="68" t="str">
        <f>IFERROR(__xludf.DUMMYFUNCTION("""COMPUTED_VALUE"""),"Jah")</f>
        <v>Jah</v>
      </c>
      <c r="X55" s="68" t="str">
        <f>IFERROR(__xludf.DUMMYFUNCTION("""COMPUTED_VALUE"""),"Jah")</f>
        <v>Jah</v>
      </c>
      <c r="Y55" s="68" t="str">
        <f>IFERROR(__xludf.DUMMYFUNCTION("""COMPUTED_VALUE"""),"Tänaval")</f>
        <v>Tänaval</v>
      </c>
      <c r="Z55" s="68" t="str">
        <f>IFERROR(__xludf.DUMMYFUNCTION("""COMPUTED_VALUE"""),"Puudub")</f>
        <v>Puudub</v>
      </c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</row>
    <row r="56">
      <c r="A56" s="68" t="str">
        <f>IFERROR(__xludf.DUMMYFUNCTION("""COMPUTED_VALUE"""),"Gildi galerii")</f>
        <v>Gildi galerii</v>
      </c>
      <c r="B56" s="68" t="str">
        <f>IFERROR(__xludf.DUMMYFUNCTION("""COMPUTED_VALUE"""),"Tartu linn")</f>
        <v>Tartu linn</v>
      </c>
      <c r="C56" s="68" t="str">
        <f>IFERROR(__xludf.DUMMYFUNCTION("""COMPUTED_VALUE"""),"Galerii")</f>
        <v>Galerii</v>
      </c>
      <c r="D56" s="69" t="str">
        <f>IFERROR(__xludf.DUMMYFUNCTION("""COMPUTED_VALUE"""),"www.facebook.com/Gildi-galerii-573217399401495/")</f>
        <v>www.facebook.com/Gildi-galerii-573217399401495/</v>
      </c>
      <c r="E56" s="68" t="str">
        <f>IFERROR(__xludf.DUMMYFUNCTION("""COMPUTED_VALUE"""),"744 2170")</f>
        <v>744 2170</v>
      </c>
      <c r="F56" s="68" t="str">
        <f>IFERROR(__xludf.DUMMYFUNCTION("""COMPUTED_VALUE"""),"gildi.galerii@mail.ee")</f>
        <v>gildi.galerii@mail.ee</v>
      </c>
      <c r="G56" s="68" t="str">
        <f>IFERROR(__xludf.DUMMYFUNCTION("""COMPUTED_VALUE"""),"Rosalie Pedassaar")</f>
        <v>Rosalie Pedassaar</v>
      </c>
      <c r="H56" s="68" t="str">
        <f>IFERROR(__xludf.DUMMYFUNCTION("""COMPUTED_VALUE"""),"Gildi 2, 51007")</f>
        <v>Gildi 2, 51007</v>
      </c>
      <c r="I56" s="68" t="str">
        <f>IFERROR(__xludf.DUMMYFUNCTION("""COMPUTED_VALUE"""),"20+")</f>
        <v>20+</v>
      </c>
      <c r="J56" s="68" t="str">
        <f>IFERROR(__xludf.DUMMYFUNCTION("""COMPUTED_VALUE"""),"Ei")</f>
        <v>Ei</v>
      </c>
      <c r="K56" s="68"/>
      <c r="L56" s="68"/>
      <c r="M56" s="68"/>
      <c r="N56" s="68"/>
      <c r="O56" s="68" t="str">
        <f>IFERROR(__xludf.DUMMYFUNCTION("""COMPUTED_VALUE"""),"Puuduvad")</f>
        <v>Puuduvad</v>
      </c>
      <c r="P56" s="68" t="str">
        <f>IFERROR(__xludf.DUMMYFUNCTION("""COMPUTED_VALUE"""),"Puuduvad")</f>
        <v>Puuduvad</v>
      </c>
      <c r="Q56" s="68" t="str">
        <f>IFERROR(__xludf.DUMMYFUNCTION("""COMPUTED_VALUE"""),"Puuduvad")</f>
        <v>Puuduvad</v>
      </c>
      <c r="R56" s="68"/>
      <c r="S56" s="68" t="str">
        <f>IFERROR(__xludf.DUMMYFUNCTION("""COMPUTED_VALUE"""),"Jah")</f>
        <v>Jah</v>
      </c>
      <c r="T56" s="68" t="str">
        <f>IFERROR(__xludf.DUMMYFUNCTION("""COMPUTED_VALUE"""),"Galeriivalgustus, stanged ")</f>
        <v>Galeriivalgustus, stanged </v>
      </c>
      <c r="U56" s="68"/>
      <c r="V56" s="68" t="str">
        <f>IFERROR(__xludf.DUMMYFUNCTION("""COMPUTED_VALUE"""),"Jah")</f>
        <v>Jah</v>
      </c>
      <c r="W56" s="68" t="str">
        <f>IFERROR(__xludf.DUMMYFUNCTION("""COMPUTED_VALUE"""),"Jah")</f>
        <v>Jah</v>
      </c>
      <c r="X56" s="68" t="str">
        <f>IFERROR(__xludf.DUMMYFUNCTION("""COMPUTED_VALUE"""),"Jah")</f>
        <v>Jah</v>
      </c>
      <c r="Y56" s="68" t="str">
        <f>IFERROR(__xludf.DUMMYFUNCTION("""COMPUTED_VALUE"""),"Tänaval")</f>
        <v>Tänaval</v>
      </c>
      <c r="Z56" s="68" t="str">
        <f>IFERROR(__xludf.DUMMYFUNCTION("""COMPUTED_VALUE"""),"Puudub")</f>
        <v>Puudub</v>
      </c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</row>
    <row r="57">
      <c r="A57" s="68" t="str">
        <f>IFERROR(__xludf.DUMMYFUNCTION("""COMPUTED_VALUE"""),"Kogo galerii  ")</f>
        <v>Kogo galerii  </v>
      </c>
      <c r="B57" s="68" t="str">
        <f>IFERROR(__xludf.DUMMYFUNCTION("""COMPUTED_VALUE"""),"Tartu linn")</f>
        <v>Tartu linn</v>
      </c>
      <c r="C57" s="68" t="str">
        <f>IFERROR(__xludf.DUMMYFUNCTION("""COMPUTED_VALUE"""),"Galerii")</f>
        <v>Galerii</v>
      </c>
      <c r="D57" s="69" t="str">
        <f>IFERROR(__xludf.DUMMYFUNCTION("""COMPUTED_VALUE"""),"www.kogogallery.ee")</f>
        <v>www.kogogallery.ee</v>
      </c>
      <c r="E57" s="68" t="str">
        <f>IFERROR(__xludf.DUMMYFUNCTION("""COMPUTED_VALUE"""),"5560 7971")</f>
        <v>5560 7971</v>
      </c>
      <c r="F57" s="68" t="str">
        <f>IFERROR(__xludf.DUMMYFUNCTION("""COMPUTED_VALUE"""),"kogo@kogogallery.ee")</f>
        <v>kogo@kogogallery.ee</v>
      </c>
      <c r="G57" s="68" t="str">
        <f>IFERROR(__xludf.DUMMYFUNCTION("""COMPUTED_VALUE"""),"Liina Raus")</f>
        <v>Liina Raus</v>
      </c>
      <c r="H57" s="68" t="str">
        <f>IFERROR(__xludf.DUMMYFUNCTION("""COMPUTED_VALUE"""),"Kastani 42, 50410")</f>
        <v>Kastani 42, 50410</v>
      </c>
      <c r="I57" s="68" t="str">
        <f>IFERROR(__xludf.DUMMYFUNCTION("""COMPUTED_VALUE"""),"25+")</f>
        <v>25+</v>
      </c>
      <c r="J57" s="68" t="str">
        <f>IFERROR(__xludf.DUMMYFUNCTION("""COMPUTED_VALUE"""),"Jah")</f>
        <v>Jah</v>
      </c>
      <c r="K57" s="68" t="str">
        <f>IFERROR(__xludf.DUMMYFUNCTION("""COMPUTED_VALUE"""),"Esimene")</f>
        <v>Esimene</v>
      </c>
      <c r="L57" s="68">
        <f>IFERROR(__xludf.DUMMYFUNCTION("""COMPUTED_VALUE"""),20.0)</f>
        <v>20</v>
      </c>
      <c r="M57" s="68"/>
      <c r="N57" s="68"/>
      <c r="O57" s="68" t="str">
        <f>IFERROR(__xludf.DUMMYFUNCTION("""COMPUTED_VALUE"""),"Puuduvad")</f>
        <v>Puuduvad</v>
      </c>
      <c r="P57" s="68" t="str">
        <f>IFERROR(__xludf.DUMMYFUNCTION("""COMPUTED_VALUE"""),"Puuduvad")</f>
        <v>Puuduvad</v>
      </c>
      <c r="Q57" s="68" t="str">
        <f>IFERROR(__xludf.DUMMYFUNCTION("""COMPUTED_VALUE"""),"Olemas")</f>
        <v>Olemas</v>
      </c>
      <c r="R57" s="68"/>
      <c r="S57" s="68" t="str">
        <f>IFERROR(__xludf.DUMMYFUNCTION("""COMPUTED_VALUE"""),"Jah")</f>
        <v>Jah</v>
      </c>
      <c r="T57" s="68" t="str">
        <f>IFERROR(__xludf.DUMMYFUNCTION("""COMPUTED_VALUE"""),"Galeriivalgustus")</f>
        <v>Galeriivalgustus</v>
      </c>
      <c r="U57" s="68"/>
      <c r="V57" s="68" t="str">
        <f>IFERROR(__xludf.DUMMYFUNCTION("""COMPUTED_VALUE"""),"Jah")</f>
        <v>Jah</v>
      </c>
      <c r="W57" s="68" t="str">
        <f>IFERROR(__xludf.DUMMYFUNCTION("""COMPUTED_VALUE"""),"Jah")</f>
        <v>Jah</v>
      </c>
      <c r="X57" s="68" t="str">
        <f>IFERROR(__xludf.DUMMYFUNCTION("""COMPUTED_VALUE"""),"Jah")</f>
        <v>Jah</v>
      </c>
      <c r="Y57" s="68" t="str">
        <f>IFERROR(__xludf.DUMMYFUNCTION("""COMPUTED_VALUE"""),"Tänaval")</f>
        <v>Tänaval</v>
      </c>
      <c r="Z57" s="68" t="str">
        <f>IFERROR(__xludf.DUMMYFUNCTION("""COMPUTED_VALUE"""),"Sisehoovis")</f>
        <v>Sisehoovis</v>
      </c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</row>
    <row r="58">
      <c r="A58" s="68" t="str">
        <f>IFERROR(__xludf.DUMMYFUNCTION("""COMPUTED_VALUE"""),"Tiigi seltsimaja")</f>
        <v>Tiigi seltsimaja</v>
      </c>
      <c r="B58" s="68" t="str">
        <f>IFERROR(__xludf.DUMMYFUNCTION("""COMPUTED_VALUE"""),"Tartu linn")</f>
        <v>Tartu linn</v>
      </c>
      <c r="C58" s="68" t="str">
        <f>IFERROR(__xludf.DUMMYFUNCTION("""COMPUTED_VALUE"""),"Kultuurikeskus")</f>
        <v>Kultuurikeskus</v>
      </c>
      <c r="D58" s="69" t="str">
        <f>IFERROR(__xludf.DUMMYFUNCTION("""COMPUTED_VALUE"""),"www.tiigiseltsimaja.tartu.ee")</f>
        <v>www.tiigiseltsimaja.tartu.ee</v>
      </c>
      <c r="E58" s="68" t="str">
        <f>IFERROR(__xludf.DUMMYFUNCTION("""COMPUTED_VALUE"""),"736 1560")</f>
        <v>736 1560</v>
      </c>
      <c r="F58" s="68" t="str">
        <f>IFERROR(__xludf.DUMMYFUNCTION("""COMPUTED_VALUE"""),"kaari.soosalu@raad.tartu.ee")</f>
        <v>kaari.soosalu@raad.tartu.ee</v>
      </c>
      <c r="G58" s="68" t="str">
        <f>IFERROR(__xludf.DUMMYFUNCTION("""COMPUTED_VALUE"""),"Kaari Soosalu")</f>
        <v>Kaari Soosalu</v>
      </c>
      <c r="H58" s="68" t="str">
        <f>IFERROR(__xludf.DUMMYFUNCTION("""COMPUTED_VALUE"""),"Tiigi 11, 51003")</f>
        <v>Tiigi 11, 51003</v>
      </c>
      <c r="I58" s="68" t="str">
        <f>IFERROR(__xludf.DUMMYFUNCTION("""COMPUTED_VALUE"""),"200+")</f>
        <v>200+</v>
      </c>
      <c r="J58" s="68" t="str">
        <f>IFERROR(__xludf.DUMMYFUNCTION("""COMPUTED_VALUE"""),"Jah")</f>
        <v>Jah</v>
      </c>
      <c r="K58" s="68" t="str">
        <f>IFERROR(__xludf.DUMMYFUNCTION("""COMPUTED_VALUE"""),"Teine")</f>
        <v>Teine</v>
      </c>
      <c r="L58" s="68">
        <f>IFERROR(__xludf.DUMMYFUNCTION("""COMPUTED_VALUE"""),100.0)</f>
        <v>100</v>
      </c>
      <c r="M58" s="68" t="str">
        <f>IFERROR(__xludf.DUMMYFUNCTION("""COMPUTED_VALUE"""),"25m2")</f>
        <v>25m2</v>
      </c>
      <c r="N58" s="68">
        <f>IFERROR(__xludf.DUMMYFUNCTION("""COMPUTED_VALUE"""),40.0)</f>
        <v>40</v>
      </c>
      <c r="O58" s="68" t="str">
        <f>IFERROR(__xludf.DUMMYFUNCTION("""COMPUTED_VALUE"""),"Olemas")</f>
        <v>Olemas</v>
      </c>
      <c r="P58" s="68" t="str">
        <f>IFERROR(__xludf.DUMMYFUNCTION("""COMPUTED_VALUE"""),"Olemas")</f>
        <v>Olemas</v>
      </c>
      <c r="Q58" s="68" t="str">
        <f>IFERROR(__xludf.DUMMYFUNCTION("""COMPUTED_VALUE"""),"Olemas")</f>
        <v>Olemas</v>
      </c>
      <c r="R58" s="68"/>
      <c r="S58" s="68" t="str">
        <f>IFERROR(__xludf.DUMMYFUNCTION("""COMPUTED_VALUE"""),"Ei")</f>
        <v>Ei</v>
      </c>
      <c r="T58" s="68" t="str">
        <f>IFERROR(__xludf.DUMMYFUNCTION("""COMPUTED_VALUE"""),"Seintele riputamisvõimalus")</f>
        <v>Seintele riputamisvõimalus</v>
      </c>
      <c r="U58" s="68"/>
      <c r="V58" s="68" t="str">
        <f>IFERROR(__xludf.DUMMYFUNCTION("""COMPUTED_VALUE"""),"Ei")</f>
        <v>Ei</v>
      </c>
      <c r="W58" s="68" t="str">
        <f>IFERROR(__xludf.DUMMYFUNCTION("""COMPUTED_VALUE"""),"Jah")</f>
        <v>Jah</v>
      </c>
      <c r="X58" s="68" t="str">
        <f>IFERROR(__xludf.DUMMYFUNCTION("""COMPUTED_VALUE"""),"Jah")</f>
        <v>Jah</v>
      </c>
      <c r="Y58" s="68" t="str">
        <f>IFERROR(__xludf.DUMMYFUNCTION("""COMPUTED_VALUE"""),"Tänaval/parklas")</f>
        <v>Tänaval/parklas</v>
      </c>
      <c r="Z58" s="68" t="str">
        <f>IFERROR(__xludf.DUMMYFUNCTION("""COMPUTED_VALUE"""),"Puudub")</f>
        <v>Puudub</v>
      </c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</row>
    <row r="59">
      <c r="A59" s="70" t="str">
        <f>IFERROR(__xludf.DUMMYFUNCTION("""COMPUTED_VALUE"""),"Tartu Üliõpilasmaja (Sõbra maja) ")</f>
        <v>Tartu Üliõpilasmaja (Sõbra maja) </v>
      </c>
      <c r="B59" s="71" t="str">
        <f>IFERROR(__xludf.DUMMYFUNCTION("""COMPUTED_VALUE"""),"Tartu linn")</f>
        <v>Tartu linn</v>
      </c>
      <c r="C59" s="68" t="str">
        <f>IFERROR(__xludf.DUMMYFUNCTION("""COMPUTED_VALUE"""),"Kultuurikeskus")</f>
        <v>Kultuurikeskus</v>
      </c>
      <c r="D59" s="72" t="str">
        <f>IFERROR(__xludf.DUMMYFUNCTION("""COMPUTED_VALUE"""),"www.tym.ee")</f>
        <v>www.tym.ee</v>
      </c>
      <c r="E59" s="73" t="str">
        <f>IFERROR(__xludf.DUMMYFUNCTION("""COMPUTED_VALUE"""),"730 2400")</f>
        <v>730 2400</v>
      </c>
      <c r="F59" s="73" t="str">
        <f>IFERROR(__xludf.DUMMYFUNCTION("""COMPUTED_VALUE"""),"tym@ut.ee")</f>
        <v>tym@ut.ee</v>
      </c>
      <c r="G59" s="73" t="str">
        <f>IFERROR(__xludf.DUMMYFUNCTION("""COMPUTED_VALUE"""),"Ilme Tiik")</f>
        <v>Ilme Tiik</v>
      </c>
      <c r="H59" s="73" t="str">
        <f>IFERROR(__xludf.DUMMYFUNCTION("""COMPUTED_VALUE"""),"Kalevi 24, 51010")</f>
        <v>Kalevi 24, 51010</v>
      </c>
      <c r="I59" s="68" t="str">
        <f>IFERROR(__xludf.DUMMYFUNCTION("""COMPUTED_VALUE"""),"300+")</f>
        <v>300+</v>
      </c>
      <c r="J59" s="68" t="str">
        <f>IFERROR(__xludf.DUMMYFUNCTION("""COMPUTED_VALUE"""),"Jah")</f>
        <v>Jah</v>
      </c>
      <c r="K59" s="68" t="str">
        <f>IFERROR(__xludf.DUMMYFUNCTION("""COMPUTED_VALUE"""),"Teine")</f>
        <v>Teine</v>
      </c>
      <c r="L59" s="68">
        <f>IFERROR(__xludf.DUMMYFUNCTION("""COMPUTED_VALUE"""),300.0)</f>
        <v>300</v>
      </c>
      <c r="M59" s="68" t="str">
        <f>IFERROR(__xludf.DUMMYFUNCTION("""COMPUTED_VALUE"""),"100m2")</f>
        <v>100m2</v>
      </c>
      <c r="N59" s="68">
        <f>IFERROR(__xludf.DUMMYFUNCTION("""COMPUTED_VALUE"""),100.0)</f>
        <v>100</v>
      </c>
      <c r="O59" s="68" t="str">
        <f>IFERROR(__xludf.DUMMYFUNCTION("""COMPUTED_VALUE"""),"Olemas")</f>
        <v>Olemas</v>
      </c>
      <c r="P59" s="68" t="str">
        <f>IFERROR(__xludf.DUMMYFUNCTION("""COMPUTED_VALUE"""),"Olemas")</f>
        <v>Olemas</v>
      </c>
      <c r="Q59" s="68" t="str">
        <f>IFERROR(__xludf.DUMMYFUNCTION("""COMPUTED_VALUE"""),"Olemas")</f>
        <v>Olemas</v>
      </c>
      <c r="R59" s="68"/>
      <c r="S59" s="68" t="str">
        <f>IFERROR(__xludf.DUMMYFUNCTION("""COMPUTED_VALUE"""),"Jah")</f>
        <v>Jah</v>
      </c>
      <c r="T59" s="68" t="str">
        <f>IFERROR(__xludf.DUMMYFUNCTION("""COMPUTED_VALUE"""),"Seintele riputamisvõimalus")</f>
        <v>Seintele riputamisvõimalus</v>
      </c>
      <c r="U59" s="68"/>
      <c r="V59" s="68" t="str">
        <f>IFERROR(__xludf.DUMMYFUNCTION("""COMPUTED_VALUE"""),"Ei")</f>
        <v>Ei</v>
      </c>
      <c r="W59" s="68" t="str">
        <f>IFERROR(__xludf.DUMMYFUNCTION("""COMPUTED_VALUE"""),"Jah")</f>
        <v>Jah</v>
      </c>
      <c r="X59" s="68" t="str">
        <f>IFERROR(__xludf.DUMMYFUNCTION("""COMPUTED_VALUE"""),"Jah")</f>
        <v>Jah</v>
      </c>
      <c r="Y59" s="68" t="str">
        <f>IFERROR(__xludf.DUMMYFUNCTION("""COMPUTED_VALUE"""),"Tänaval/parklas")</f>
        <v>Tänaval/parklas</v>
      </c>
      <c r="Z59" s="68" t="str">
        <f>IFERROR(__xludf.DUMMYFUNCTION("""COMPUTED_VALUE"""),"Tagumine hoov")</f>
        <v>Tagumine hoov</v>
      </c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</row>
    <row r="60">
      <c r="A60" s="70" t="str">
        <f>IFERROR(__xludf.DUMMYFUNCTION("""COMPUTED_VALUE"""),"Genialistide Klubi")</f>
        <v>Genialistide Klubi</v>
      </c>
      <c r="B60" s="71" t="str">
        <f>IFERROR(__xludf.DUMMYFUNCTION("""COMPUTED_VALUE"""),"Tartu linn")</f>
        <v>Tartu linn</v>
      </c>
      <c r="C60" s="68" t="str">
        <f>IFERROR(__xludf.DUMMYFUNCTION("""COMPUTED_VALUE"""),"Klubi")</f>
        <v>Klubi</v>
      </c>
      <c r="D60" s="74" t="str">
        <f>IFERROR(__xludf.DUMMYFUNCTION("""COMPUTED_VALUE"""),"www.genklubi.ee")</f>
        <v>www.genklubi.ee</v>
      </c>
      <c r="E60" s="73" t="str">
        <f>IFERROR(__xludf.DUMMYFUNCTION("""COMPUTED_VALUE"""),"5348 5530")</f>
        <v>5348 5530</v>
      </c>
      <c r="F60" s="73" t="str">
        <f>IFERROR(__xludf.DUMMYFUNCTION("""COMPUTED_VALUE"""),"info@genklubi.ee")</f>
        <v>info@genklubi.ee</v>
      </c>
      <c r="G60" s="73" t="str">
        <f>IFERROR(__xludf.DUMMYFUNCTION("""COMPUTED_VALUE"""),"Allan Aint")</f>
        <v>Allan Aint</v>
      </c>
      <c r="H60" s="73" t="str">
        <f>IFERROR(__xludf.DUMMYFUNCTION("""COMPUTED_VALUE"""),"Magasini 5, 51005")</f>
        <v>Magasini 5, 51005</v>
      </c>
      <c r="I60" s="68" t="str">
        <f>IFERROR(__xludf.DUMMYFUNCTION("""COMPUTED_VALUE"""),"700+")</f>
        <v>700+</v>
      </c>
      <c r="J60" s="68" t="str">
        <f>IFERROR(__xludf.DUMMYFUNCTION("""COMPUTED_VALUE"""),"Jah")</f>
        <v>Jah</v>
      </c>
      <c r="K60" s="68" t="str">
        <f>IFERROR(__xludf.DUMMYFUNCTION("""COMPUTED_VALUE"""),"Teine")</f>
        <v>Teine</v>
      </c>
      <c r="L60" s="68">
        <f>IFERROR(__xludf.DUMMYFUNCTION("""COMPUTED_VALUE"""),400.0)</f>
        <v>400</v>
      </c>
      <c r="M60" s="68" t="str">
        <f>IFERROR(__xludf.DUMMYFUNCTION("""COMPUTED_VALUE"""),"8x6m")</f>
        <v>8x6m</v>
      </c>
      <c r="N60" s="68">
        <f>IFERROR(__xludf.DUMMYFUNCTION("""COMPUTED_VALUE"""),80.0)</f>
        <v>80</v>
      </c>
      <c r="O60" s="68" t="str">
        <f>IFERROR(__xludf.DUMMYFUNCTION("""COMPUTED_VALUE"""),"Olemas")</f>
        <v>Olemas</v>
      </c>
      <c r="P60" s="68" t="str">
        <f>IFERROR(__xludf.DUMMYFUNCTION("""COMPUTED_VALUE"""),"Olemas")</f>
        <v>Olemas</v>
      </c>
      <c r="Q60" s="68" t="str">
        <f>IFERROR(__xludf.DUMMYFUNCTION("""COMPUTED_VALUE"""),"Olemas")</f>
        <v>Olemas</v>
      </c>
      <c r="R60" s="68"/>
      <c r="S60" s="68" t="str">
        <f>IFERROR(__xludf.DUMMYFUNCTION("""COMPUTED_VALUE"""),"Jah")</f>
        <v>Jah</v>
      </c>
      <c r="T60" s="68" t="str">
        <f>IFERROR(__xludf.DUMMYFUNCTION("""COMPUTED_VALUE"""),"Seintele riputamisvõimalus")</f>
        <v>Seintele riputamisvõimalus</v>
      </c>
      <c r="U60" s="68"/>
      <c r="V60" s="68" t="str">
        <f>IFERROR(__xludf.DUMMYFUNCTION("""COMPUTED_VALUE"""),"Jah")</f>
        <v>Jah</v>
      </c>
      <c r="W60" s="68" t="str">
        <f>IFERROR(__xludf.DUMMYFUNCTION("""COMPUTED_VALUE"""),"Jah")</f>
        <v>Jah</v>
      </c>
      <c r="X60" s="68" t="str">
        <f>IFERROR(__xludf.DUMMYFUNCTION("""COMPUTED_VALUE"""),"Jah")</f>
        <v>Jah</v>
      </c>
      <c r="Y60" s="68" t="str">
        <f>IFERROR(__xludf.DUMMYFUNCTION("""COMPUTED_VALUE"""),"Tänaval")</f>
        <v>Tänaval</v>
      </c>
      <c r="Z60" s="68" t="str">
        <f>IFERROR(__xludf.DUMMYFUNCTION("""COMPUTED_VALUE"""),"Hoovilava terassiga")</f>
        <v>Hoovilava terassiga</v>
      </c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</row>
    <row r="61">
      <c r="A61" s="70" t="str">
        <f>IFERROR(__xludf.DUMMYFUNCTION("""COMPUTED_VALUE"""),"Tartu Jazziklubi")</f>
        <v>Tartu Jazziklubi</v>
      </c>
      <c r="B61" s="71" t="str">
        <f>IFERROR(__xludf.DUMMYFUNCTION("""COMPUTED_VALUE"""),"Tartu linn")</f>
        <v>Tartu linn</v>
      </c>
      <c r="C61" s="68" t="str">
        <f>IFERROR(__xludf.DUMMYFUNCTION("""COMPUTED_VALUE"""),"Klubi")</f>
        <v>Klubi</v>
      </c>
      <c r="D61" s="72" t="str">
        <f>IFERROR(__xludf.DUMMYFUNCTION("""COMPUTED_VALUE"""),"www.klubi.tartujazz.ee")</f>
        <v>www.klubi.tartujazz.ee</v>
      </c>
      <c r="E61" s="73" t="str">
        <f>IFERROR(__xludf.DUMMYFUNCTION("""COMPUTED_VALUE"""),"509 4902")</f>
        <v>509 4902</v>
      </c>
      <c r="F61" s="73" t="str">
        <f>IFERROR(__xludf.DUMMYFUNCTION("""COMPUTED_VALUE"""),"oleg@tartujazz.ee")</f>
        <v>oleg@tartujazz.ee</v>
      </c>
      <c r="G61" s="71" t="str">
        <f>IFERROR(__xludf.DUMMYFUNCTION("""COMPUTED_VALUE"""),"Oleg Pissarenko")</f>
        <v>Oleg Pissarenko</v>
      </c>
      <c r="H61" s="73" t="str">
        <f>IFERROR(__xludf.DUMMYFUNCTION("""COMPUTED_VALUE"""),"Muuseumi tee 2, 60532")</f>
        <v>Muuseumi tee 2, 60532</v>
      </c>
      <c r="I61" s="68" t="str">
        <f>IFERROR(__xludf.DUMMYFUNCTION("""COMPUTED_VALUE"""),"300+")</f>
        <v>300+</v>
      </c>
      <c r="J61" s="68" t="str">
        <f>IFERROR(__xludf.DUMMYFUNCTION("""COMPUTED_VALUE"""),"Jah")</f>
        <v>Jah</v>
      </c>
      <c r="K61" s="68" t="str">
        <f>IFERROR(__xludf.DUMMYFUNCTION("""COMPUTED_VALUE"""),"Esimene")</f>
        <v>Esimene</v>
      </c>
      <c r="L61" s="68">
        <f>IFERROR(__xludf.DUMMYFUNCTION("""COMPUTED_VALUE"""),250.0)</f>
        <v>250</v>
      </c>
      <c r="M61" s="68"/>
      <c r="N61" s="68">
        <f>IFERROR(__xludf.DUMMYFUNCTION("""COMPUTED_VALUE"""),150.0)</f>
        <v>150</v>
      </c>
      <c r="O61" s="68" t="str">
        <f>IFERROR(__xludf.DUMMYFUNCTION("""COMPUTED_VALUE"""),"Olemas")</f>
        <v>Olemas</v>
      </c>
      <c r="P61" s="68" t="str">
        <f>IFERROR(__xludf.DUMMYFUNCTION("""COMPUTED_VALUE"""),"Olemas")</f>
        <v>Olemas</v>
      </c>
      <c r="Q61" s="68" t="str">
        <f>IFERROR(__xludf.DUMMYFUNCTION("""COMPUTED_VALUE"""),"Olemas")</f>
        <v>Olemas</v>
      </c>
      <c r="R61" s="68"/>
      <c r="S61" s="68" t="str">
        <f>IFERROR(__xludf.DUMMYFUNCTION("""COMPUTED_VALUE"""),"Jah")</f>
        <v>Jah</v>
      </c>
      <c r="T61" s="68" t="str">
        <f>IFERROR(__xludf.DUMMYFUNCTION("""COMPUTED_VALUE"""),"Seintele riputamisvõimalus")</f>
        <v>Seintele riputamisvõimalus</v>
      </c>
      <c r="U61" s="68"/>
      <c r="V61" s="68" t="str">
        <f>IFERROR(__xludf.DUMMYFUNCTION("""COMPUTED_VALUE"""),"Jah")</f>
        <v>Jah</v>
      </c>
      <c r="W61" s="68" t="str">
        <f>IFERROR(__xludf.DUMMYFUNCTION("""COMPUTED_VALUE"""),"Jah")</f>
        <v>Jah</v>
      </c>
      <c r="X61" s="68" t="str">
        <f>IFERROR(__xludf.DUMMYFUNCTION("""COMPUTED_VALUE"""),"Jah")</f>
        <v>Jah</v>
      </c>
      <c r="Y61" s="68" t="str">
        <f>IFERROR(__xludf.DUMMYFUNCTION("""COMPUTED_VALUE"""),"Parklad")</f>
        <v>Parklad</v>
      </c>
      <c r="Z61" s="68" t="str">
        <f>IFERROR(__xludf.DUMMYFUNCTION("""COMPUTED_VALUE"""),"Suvelava 500 inimest + Lennuväli 60 000+ inimest")</f>
        <v>Suvelava 500 inimest + Lennuväli 60 000+ inimest</v>
      </c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</row>
    <row r="62">
      <c r="A62" s="70" t="str">
        <f>IFERROR(__xludf.DUMMYFUNCTION("""COMPUTED_VALUE"""),"End. Klubi Illusioon (varsti Maxima?)")</f>
        <v>End. Klubi Illusioon (varsti Maxima?)</v>
      </c>
      <c r="B62" s="71" t="str">
        <f>IFERROR(__xludf.DUMMYFUNCTION("""COMPUTED_VALUE"""),"Tartu linn")</f>
        <v>Tartu linn</v>
      </c>
      <c r="C62" s="68" t="str">
        <f>IFERROR(__xludf.DUMMYFUNCTION("""COMPUTED_VALUE"""),"Klubi")</f>
        <v>Klubi</v>
      </c>
      <c r="D62" s="72" t="str">
        <f>IFERROR(__xludf.DUMMYFUNCTION("""COMPUTED_VALUE"""),"www.illusion.ee")</f>
        <v>www.illusion.ee</v>
      </c>
      <c r="E62" s="73" t="str">
        <f>IFERROR(__xludf.DUMMYFUNCTION("""COMPUTED_VALUE"""),"742 4341")</f>
        <v>742 4341</v>
      </c>
      <c r="F62" s="73" t="str">
        <f>IFERROR(__xludf.DUMMYFUNCTION("""COMPUTED_VALUE"""),"info@illusion.ee")</f>
        <v>info@illusion.ee</v>
      </c>
      <c r="G62" s="71" t="str">
        <f>IFERROR(__xludf.DUMMYFUNCTION("""COMPUTED_VALUE"""),"Gunnar Mitt")</f>
        <v>Gunnar Mitt</v>
      </c>
      <c r="H62" s="73" t="str">
        <f>IFERROR(__xludf.DUMMYFUNCTION("""COMPUTED_VALUE"""),"Raatuse 97, 50604")</f>
        <v>Raatuse 97, 50604</v>
      </c>
      <c r="I62" s="68" t="str">
        <f>IFERROR(__xludf.DUMMYFUNCTION("""COMPUTED_VALUE"""),"1200+")</f>
        <v>1200+</v>
      </c>
      <c r="J62" s="68" t="str">
        <f>IFERROR(__xludf.DUMMYFUNCTION("""COMPUTED_VALUE"""),"Jah")</f>
        <v>Jah</v>
      </c>
      <c r="K62" s="68" t="str">
        <f>IFERROR(__xludf.DUMMYFUNCTION("""COMPUTED_VALUE"""),"Esimene")</f>
        <v>Esimene</v>
      </c>
      <c r="L62" s="68">
        <f>IFERROR(__xludf.DUMMYFUNCTION("""COMPUTED_VALUE"""),1000.0)</f>
        <v>1000</v>
      </c>
      <c r="M62" s="68" t="str">
        <f>IFERROR(__xludf.DUMMYFUNCTION("""COMPUTED_VALUE"""),"10x7")</f>
        <v>10x7</v>
      </c>
      <c r="N62" s="68">
        <f>IFERROR(__xludf.DUMMYFUNCTION("""COMPUTED_VALUE"""),200.0)</f>
        <v>200</v>
      </c>
      <c r="O62" s="68" t="str">
        <f>IFERROR(__xludf.DUMMYFUNCTION("""COMPUTED_VALUE"""),"Olemas")</f>
        <v>Olemas</v>
      </c>
      <c r="P62" s="68" t="str">
        <f>IFERROR(__xludf.DUMMYFUNCTION("""COMPUTED_VALUE"""),"Olemas")</f>
        <v>Olemas</v>
      </c>
      <c r="Q62" s="68" t="str">
        <f>IFERROR(__xludf.DUMMYFUNCTION("""COMPUTED_VALUE"""),"Olemas")</f>
        <v>Olemas</v>
      </c>
      <c r="R62" s="68"/>
      <c r="S62" s="68" t="str">
        <f>IFERROR(__xludf.DUMMYFUNCTION("""COMPUTED_VALUE"""),"Ei")</f>
        <v>Ei</v>
      </c>
      <c r="T62" s="68" t="str">
        <f>IFERROR(__xludf.DUMMYFUNCTION("""COMPUTED_VALUE"""),"Seintele riputamisvõimalus")</f>
        <v>Seintele riputamisvõimalus</v>
      </c>
      <c r="U62" s="68"/>
      <c r="V62" s="68" t="str">
        <f>IFERROR(__xludf.DUMMYFUNCTION("""COMPUTED_VALUE"""),"Jah")</f>
        <v>Jah</v>
      </c>
      <c r="W62" s="68" t="str">
        <f>IFERROR(__xludf.DUMMYFUNCTION("""COMPUTED_VALUE"""),"Jah")</f>
        <v>Jah</v>
      </c>
      <c r="X62" s="68" t="str">
        <f>IFERROR(__xludf.DUMMYFUNCTION("""COMPUTED_VALUE"""),"Jah")</f>
        <v>Jah</v>
      </c>
      <c r="Y62" s="68" t="str">
        <f>IFERROR(__xludf.DUMMYFUNCTION("""COMPUTED_VALUE"""),"Tänaval")</f>
        <v>Tänaval</v>
      </c>
      <c r="Z62" s="68" t="str">
        <f>IFERROR(__xludf.DUMMYFUNCTION("""COMPUTED_VALUE"""),"Puudub")</f>
        <v>Puudub</v>
      </c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</row>
    <row r="63">
      <c r="A63" s="70" t="str">
        <f>IFERROR(__xludf.DUMMYFUNCTION("""COMPUTED_VALUE"""),"Rokiklubi Rock&amp;Roll")</f>
        <v>Rokiklubi Rock&amp;Roll</v>
      </c>
      <c r="B63" s="71" t="str">
        <f>IFERROR(__xludf.DUMMYFUNCTION("""COMPUTED_VALUE"""),"Tartu linn")</f>
        <v>Tartu linn</v>
      </c>
      <c r="C63" s="68" t="str">
        <f>IFERROR(__xludf.DUMMYFUNCTION("""COMPUTED_VALUE"""),"Klubi")</f>
        <v>Klubi</v>
      </c>
      <c r="D63" s="72" t="str">
        <f>IFERROR(__xludf.DUMMYFUNCTION("""COMPUTED_VALUE"""),"www.rocknroll.ee")</f>
        <v>www.rocknroll.ee</v>
      </c>
      <c r="E63" s="73" t="str">
        <f>IFERROR(__xludf.DUMMYFUNCTION("""COMPUTED_VALUE"""),"742 2098")</f>
        <v>742 2098</v>
      </c>
      <c r="F63" s="73" t="str">
        <f>IFERROR(__xludf.DUMMYFUNCTION("""COMPUTED_VALUE"""),"roll@rockroll.ee")</f>
        <v>roll@rockroll.ee</v>
      </c>
      <c r="G63" s="73" t="str">
        <f>IFERROR(__xludf.DUMMYFUNCTION("""COMPUTED_VALUE"""),"Roland Sutt")</f>
        <v>Roland Sutt</v>
      </c>
      <c r="H63" s="73" t="str">
        <f>IFERROR(__xludf.DUMMYFUNCTION("""COMPUTED_VALUE"""),"Tiigi 76A, 51004")</f>
        <v>Tiigi 76A, 51004</v>
      </c>
      <c r="I63" s="68" t="str">
        <f>IFERROR(__xludf.DUMMYFUNCTION("""COMPUTED_VALUE"""),"300+")</f>
        <v>300+</v>
      </c>
      <c r="J63" s="68" t="str">
        <f>IFERROR(__xludf.DUMMYFUNCTION("""COMPUTED_VALUE"""),"Jah")</f>
        <v>Jah</v>
      </c>
      <c r="K63" s="68" t="str">
        <f>IFERROR(__xludf.DUMMYFUNCTION("""COMPUTED_VALUE"""),"Teine")</f>
        <v>Teine</v>
      </c>
      <c r="L63" s="68">
        <f>IFERROR(__xludf.DUMMYFUNCTION("""COMPUTED_VALUE"""),200.0)</f>
        <v>200</v>
      </c>
      <c r="M63" s="68" t="str">
        <f>IFERROR(__xludf.DUMMYFUNCTION("""COMPUTED_VALUE"""),"6x5")</f>
        <v>6x5</v>
      </c>
      <c r="N63" s="68">
        <f>IFERROR(__xludf.DUMMYFUNCTION("""COMPUTED_VALUE"""),50.0)</f>
        <v>50</v>
      </c>
      <c r="O63" s="68" t="str">
        <f>IFERROR(__xludf.DUMMYFUNCTION("""COMPUTED_VALUE"""),"Olemas")</f>
        <v>Olemas</v>
      </c>
      <c r="P63" s="68" t="str">
        <f>IFERROR(__xludf.DUMMYFUNCTION("""COMPUTED_VALUE"""),"Olemas")</f>
        <v>Olemas</v>
      </c>
      <c r="Q63" s="68" t="str">
        <f>IFERROR(__xludf.DUMMYFUNCTION("""COMPUTED_VALUE"""),"Olemas")</f>
        <v>Olemas</v>
      </c>
      <c r="R63" s="68"/>
      <c r="S63" s="68" t="str">
        <f>IFERROR(__xludf.DUMMYFUNCTION("""COMPUTED_VALUE"""),"Ei")</f>
        <v>Ei</v>
      </c>
      <c r="T63" s="68" t="str">
        <f>IFERROR(__xludf.DUMMYFUNCTION("""COMPUTED_VALUE"""),"Seintele riputamisvõimalus")</f>
        <v>Seintele riputamisvõimalus</v>
      </c>
      <c r="U63" s="68"/>
      <c r="V63" s="68" t="str">
        <f>IFERROR(__xludf.DUMMYFUNCTION("""COMPUTED_VALUE"""),"Ei")</f>
        <v>Ei</v>
      </c>
      <c r="W63" s="68" t="str">
        <f>IFERROR(__xludf.DUMMYFUNCTION("""COMPUTED_VALUE"""),"Jah")</f>
        <v>Jah</v>
      </c>
      <c r="X63" s="68" t="str">
        <f>IFERROR(__xludf.DUMMYFUNCTION("""COMPUTED_VALUE"""),"Jah")</f>
        <v>Jah</v>
      </c>
      <c r="Y63" s="68" t="str">
        <f>IFERROR(__xludf.DUMMYFUNCTION("""COMPUTED_VALUE"""),"Tänaval/parklas")</f>
        <v>Tänaval/parklas</v>
      </c>
      <c r="Z63" s="68" t="str">
        <f>IFERROR(__xludf.DUMMYFUNCTION("""COMPUTED_VALUE"""),"Väike sisehoov")</f>
        <v>Väike sisehoov</v>
      </c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</row>
    <row r="64">
      <c r="A64" s="70" t="str">
        <f>IFERROR(__xludf.DUMMYFUNCTION("""COMPUTED_VALUE"""),"Ööklubi Maasikas")</f>
        <v>Ööklubi Maasikas</v>
      </c>
      <c r="B64" s="71" t="str">
        <f>IFERROR(__xludf.DUMMYFUNCTION("""COMPUTED_VALUE"""),"Tartu linn")</f>
        <v>Tartu linn</v>
      </c>
      <c r="C64" s="68" t="str">
        <f>IFERROR(__xludf.DUMMYFUNCTION("""COMPUTED_VALUE"""),"Klubi")</f>
        <v>Klubi</v>
      </c>
      <c r="D64" s="72" t="str">
        <f>IFERROR(__xludf.DUMMYFUNCTION("""COMPUTED_VALUE"""),"www.maasikas.com")</f>
        <v>www.maasikas.com</v>
      </c>
      <c r="E64" s="73" t="str">
        <f>IFERROR(__xludf.DUMMYFUNCTION("""COMPUTED_VALUE"""),"736 6273")</f>
        <v>736 6273</v>
      </c>
      <c r="F64" s="71" t="str">
        <f>IFERROR(__xludf.DUMMYFUNCTION("""COMPUTED_VALUE"""),"maasikas@maasikas.com")</f>
        <v>maasikas@maasikas.com</v>
      </c>
      <c r="G64" s="71" t="str">
        <f>IFERROR(__xludf.DUMMYFUNCTION("""COMPUTED_VALUE"""),"Kristel Kadaja")</f>
        <v>Kristel Kadaja</v>
      </c>
      <c r="H64" s="73" t="str">
        <f>IFERROR(__xludf.DUMMYFUNCTION("""COMPUTED_VALUE"""),"Küüni 7, 51004")</f>
        <v>Küüni 7, 51004</v>
      </c>
      <c r="I64" s="68" t="str">
        <f>IFERROR(__xludf.DUMMYFUNCTION("""COMPUTED_VALUE"""),"500+")</f>
        <v>500+</v>
      </c>
      <c r="J64" s="68" t="str">
        <f>IFERROR(__xludf.DUMMYFUNCTION("""COMPUTED_VALUE"""),"Jah")</f>
        <v>Jah</v>
      </c>
      <c r="K64" s="68" t="str">
        <f>IFERROR(__xludf.DUMMYFUNCTION("""COMPUTED_VALUE"""),"Kolmas")</f>
        <v>Kolmas</v>
      </c>
      <c r="L64" s="68">
        <f>IFERROR(__xludf.DUMMYFUNCTION("""COMPUTED_VALUE"""),300.0)</f>
        <v>300</v>
      </c>
      <c r="M64" s="68"/>
      <c r="N64" s="68">
        <f>IFERROR(__xludf.DUMMYFUNCTION("""COMPUTED_VALUE"""),50.0)</f>
        <v>50</v>
      </c>
      <c r="O64" s="68" t="str">
        <f>IFERROR(__xludf.DUMMYFUNCTION("""COMPUTED_VALUE"""),"Olemas")</f>
        <v>Olemas</v>
      </c>
      <c r="P64" s="68" t="str">
        <f>IFERROR(__xludf.DUMMYFUNCTION("""COMPUTED_VALUE"""),"Olemas")</f>
        <v>Olemas</v>
      </c>
      <c r="Q64" s="68" t="str">
        <f>IFERROR(__xludf.DUMMYFUNCTION("""COMPUTED_VALUE"""),"Olemas")</f>
        <v>Olemas</v>
      </c>
      <c r="R64" s="68"/>
      <c r="S64" s="68" t="str">
        <f>IFERROR(__xludf.DUMMYFUNCTION("""COMPUTED_VALUE"""),"Ei")</f>
        <v>Ei</v>
      </c>
      <c r="T64" s="68" t="str">
        <f>IFERROR(__xludf.DUMMYFUNCTION("""COMPUTED_VALUE"""),"Seintele riputamisvõimalus")</f>
        <v>Seintele riputamisvõimalus</v>
      </c>
      <c r="U64" s="68"/>
      <c r="V64" s="68" t="str">
        <f>IFERROR(__xludf.DUMMYFUNCTION("""COMPUTED_VALUE"""),"Ei")</f>
        <v>Ei</v>
      </c>
      <c r="W64" s="68" t="str">
        <f>IFERROR(__xludf.DUMMYFUNCTION("""COMPUTED_VALUE"""),"Jah")</f>
        <v>Jah</v>
      </c>
      <c r="X64" s="68" t="str">
        <f>IFERROR(__xludf.DUMMYFUNCTION("""COMPUTED_VALUE"""),"Jah")</f>
        <v>Jah</v>
      </c>
      <c r="Y64" s="68" t="str">
        <f>IFERROR(__xludf.DUMMYFUNCTION("""COMPUTED_VALUE"""),"Tänaval")</f>
        <v>Tänaval</v>
      </c>
      <c r="Z64" s="68" t="str">
        <f>IFERROR(__xludf.DUMMYFUNCTION("""COMPUTED_VALUE"""),"Puudub")</f>
        <v>Puudub</v>
      </c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</row>
    <row r="65">
      <c r="A65" s="70" t="str">
        <f>IFERROR(__xludf.DUMMYFUNCTION("""COMPUTED_VALUE"""),"Ööklubi Vabank")</f>
        <v>Ööklubi Vabank</v>
      </c>
      <c r="B65" s="71" t="str">
        <f>IFERROR(__xludf.DUMMYFUNCTION("""COMPUTED_VALUE"""),"Tartu linn")</f>
        <v>Tartu linn</v>
      </c>
      <c r="C65" s="71" t="str">
        <f>IFERROR(__xludf.DUMMYFUNCTION("""COMPUTED_VALUE"""),"Klubi")</f>
        <v>Klubi</v>
      </c>
      <c r="D65" s="72" t="str">
        <f>IFERROR(__xludf.DUMMYFUNCTION("""COMPUTED_VALUE"""),"www.vabankclub.ee")</f>
        <v>www.vabankclub.ee</v>
      </c>
      <c r="E65" s="73" t="str">
        <f>IFERROR(__xludf.DUMMYFUNCTION("""COMPUTED_VALUE"""),"660 6693")</f>
        <v>660 6693</v>
      </c>
      <c r="F65" s="73" t="str">
        <f>IFERROR(__xludf.DUMMYFUNCTION("""COMPUTED_VALUE"""),"info@vabankclub.ee")</f>
        <v>info@vabankclub.ee</v>
      </c>
      <c r="G65" s="73" t="str">
        <f>IFERROR(__xludf.DUMMYFUNCTION("""COMPUTED_VALUE"""),"Ronald Blumenau")</f>
        <v>Ronald Blumenau</v>
      </c>
      <c r="H65" s="73" t="str">
        <f>IFERROR(__xludf.DUMMYFUNCTION("""COMPUTED_VALUE"""),"Ülikooli 8a, 51004")</f>
        <v>Ülikooli 8a, 51004</v>
      </c>
      <c r="I65" s="68" t="str">
        <f>IFERROR(__xludf.DUMMYFUNCTION("""COMPUTED_VALUE"""),"500+")</f>
        <v>500+</v>
      </c>
      <c r="J65" s="68" t="str">
        <f>IFERROR(__xludf.DUMMYFUNCTION("""COMPUTED_VALUE"""),"Jah")</f>
        <v>Jah</v>
      </c>
      <c r="K65" s="68" t="str">
        <f>IFERROR(__xludf.DUMMYFUNCTION("""COMPUTED_VALUE"""),"Teine")</f>
        <v>Teine</v>
      </c>
      <c r="L65" s="68">
        <f>IFERROR(__xludf.DUMMYFUNCTION("""COMPUTED_VALUE"""),300.0)</f>
        <v>300</v>
      </c>
      <c r="M65" s="68"/>
      <c r="N65" s="68">
        <f>IFERROR(__xludf.DUMMYFUNCTION("""COMPUTED_VALUE"""),50.0)</f>
        <v>50</v>
      </c>
      <c r="O65" s="68" t="str">
        <f>IFERROR(__xludf.DUMMYFUNCTION("""COMPUTED_VALUE"""),"Olemas")</f>
        <v>Olemas</v>
      </c>
      <c r="P65" s="68" t="str">
        <f>IFERROR(__xludf.DUMMYFUNCTION("""COMPUTED_VALUE"""),"Olemas")</f>
        <v>Olemas</v>
      </c>
      <c r="Q65" s="68" t="str">
        <f>IFERROR(__xludf.DUMMYFUNCTION("""COMPUTED_VALUE"""),"Olemas")</f>
        <v>Olemas</v>
      </c>
      <c r="R65" s="68"/>
      <c r="S65" s="68" t="str">
        <f>IFERROR(__xludf.DUMMYFUNCTION("""COMPUTED_VALUE"""),"Ei")</f>
        <v>Ei</v>
      </c>
      <c r="T65" s="68" t="str">
        <f>IFERROR(__xludf.DUMMYFUNCTION("""COMPUTED_VALUE"""),"Ei")</f>
        <v>Ei</v>
      </c>
      <c r="U65" s="68"/>
      <c r="V65" s="68" t="str">
        <f>IFERROR(__xludf.DUMMYFUNCTION("""COMPUTED_VALUE"""),"Ei")</f>
        <v>Ei</v>
      </c>
      <c r="W65" s="68" t="str">
        <f>IFERROR(__xludf.DUMMYFUNCTION("""COMPUTED_VALUE"""),"Jah")</f>
        <v>Jah</v>
      </c>
      <c r="X65" s="68" t="str">
        <f>IFERROR(__xludf.DUMMYFUNCTION("""COMPUTED_VALUE"""),"Jah")</f>
        <v>Jah</v>
      </c>
      <c r="Y65" s="68" t="str">
        <f>IFERROR(__xludf.DUMMYFUNCTION("""COMPUTED_VALUE"""),"Tänaval")</f>
        <v>Tänaval</v>
      </c>
      <c r="Z65" s="68" t="str">
        <f>IFERROR(__xludf.DUMMYFUNCTION("""COMPUTED_VALUE"""),"Puudub")</f>
        <v>Puudub</v>
      </c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</row>
    <row r="66">
      <c r="A66" s="70" t="str">
        <f>IFERROR(__xludf.DUMMYFUNCTION("""COMPUTED_VALUE"""),"Tartu Erinevate Tubade Klubi")</f>
        <v>Tartu Erinevate Tubade Klubi</v>
      </c>
      <c r="B66" s="71" t="str">
        <f>IFERROR(__xludf.DUMMYFUNCTION("""COMPUTED_VALUE"""),"Tartu linn")</f>
        <v>Tartu linn</v>
      </c>
      <c r="C66" s="71" t="str">
        <f>IFERROR(__xludf.DUMMYFUNCTION("""COMPUTED_VALUE"""),"Sündmuskeskus")</f>
        <v>Sündmuskeskus</v>
      </c>
      <c r="D66" s="74" t="str">
        <f>IFERROR(__xludf.DUMMYFUNCTION("""COMPUTED_VALUE"""),"www.tartuetk.ee")</f>
        <v>www.tartuetk.ee</v>
      </c>
      <c r="E66" s="73" t="str">
        <f>IFERROR(__xludf.DUMMYFUNCTION("""COMPUTED_VALUE"""),"5569 7124")</f>
        <v>5569 7124</v>
      </c>
      <c r="F66" s="73" t="str">
        <f>IFERROR(__xludf.DUMMYFUNCTION("""COMPUTED_VALUE"""),"tartu@tartuetk.ee")</f>
        <v>tartu@tartuetk.ee</v>
      </c>
      <c r="G66" s="73" t="str">
        <f>IFERROR(__xludf.DUMMYFUNCTION("""COMPUTED_VALUE"""),"Hanno Pasovs")</f>
        <v>Hanno Pasovs</v>
      </c>
      <c r="H66" s="73" t="str">
        <f>IFERROR(__xludf.DUMMYFUNCTION("""COMPUTED_VALUE"""),"Kastani 42, 50410")</f>
        <v>Kastani 42, 50410</v>
      </c>
      <c r="I66" s="68" t="str">
        <f>IFERROR(__xludf.DUMMYFUNCTION("""COMPUTED_VALUE"""),"500+")</f>
        <v>500+</v>
      </c>
      <c r="J66" s="68" t="str">
        <f>IFERROR(__xludf.DUMMYFUNCTION("""COMPUTED_VALUE"""),"Jah")</f>
        <v>Jah</v>
      </c>
      <c r="K66" s="68" t="str">
        <f>IFERROR(__xludf.DUMMYFUNCTION("""COMPUTED_VALUE"""),"Neljas")</f>
        <v>Neljas</v>
      </c>
      <c r="L66" s="68">
        <f>IFERROR(__xludf.DUMMYFUNCTION("""COMPUTED_VALUE"""),300.0)</f>
        <v>300</v>
      </c>
      <c r="M66" s="68"/>
      <c r="N66" s="68">
        <f>IFERROR(__xludf.DUMMYFUNCTION("""COMPUTED_VALUE"""),80.0)</f>
        <v>80</v>
      </c>
      <c r="O66" s="68" t="str">
        <f>IFERROR(__xludf.DUMMYFUNCTION("""COMPUTED_VALUE"""),"Olemas")</f>
        <v>Olemas</v>
      </c>
      <c r="P66" s="68" t="str">
        <f>IFERROR(__xludf.DUMMYFUNCTION("""COMPUTED_VALUE"""),"Olemas")</f>
        <v>Olemas</v>
      </c>
      <c r="Q66" s="68" t="str">
        <f>IFERROR(__xludf.DUMMYFUNCTION("""COMPUTED_VALUE"""),"Olemas")</f>
        <v>Olemas</v>
      </c>
      <c r="R66" s="68"/>
      <c r="S66" s="68" t="str">
        <f>IFERROR(__xludf.DUMMYFUNCTION("""COMPUTED_VALUE"""),"Jah")</f>
        <v>Jah</v>
      </c>
      <c r="T66" s="68" t="str">
        <f>IFERROR(__xludf.DUMMYFUNCTION("""COMPUTED_VALUE"""),"Seintele riputamisvõimalus")</f>
        <v>Seintele riputamisvõimalus</v>
      </c>
      <c r="U66" s="68"/>
      <c r="V66" s="68" t="str">
        <f>IFERROR(__xludf.DUMMYFUNCTION("""COMPUTED_VALUE"""),"Ei")</f>
        <v>Ei</v>
      </c>
      <c r="W66" s="68" t="str">
        <f>IFERROR(__xludf.DUMMYFUNCTION("""COMPUTED_VALUE"""),"Jah")</f>
        <v>Jah</v>
      </c>
      <c r="X66" s="68" t="str">
        <f>IFERROR(__xludf.DUMMYFUNCTION("""COMPUTED_VALUE"""),"Jah")</f>
        <v>Jah</v>
      </c>
      <c r="Y66" s="68" t="str">
        <f>IFERROR(__xludf.DUMMYFUNCTION("""COMPUTED_VALUE"""),"Tänaval/parklas")</f>
        <v>Tänaval/parklas</v>
      </c>
      <c r="Z66" s="68" t="str">
        <f>IFERROR(__xludf.DUMMYFUNCTION("""COMPUTED_VALUE"""),"Aparaaditehase sisehoovis.")</f>
        <v>Aparaaditehase sisehoovis.</v>
      </c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</row>
    <row r="67">
      <c r="A67" s="70" t="str">
        <f>IFERROR(__xludf.DUMMYFUNCTION("""COMPUTED_VALUE"""),"Tartu adventkirik")</f>
        <v>Tartu adventkirik</v>
      </c>
      <c r="B67" s="71" t="str">
        <f>IFERROR(__xludf.DUMMYFUNCTION("""COMPUTED_VALUE"""),"Tartu linn")</f>
        <v>Tartu linn</v>
      </c>
      <c r="C67" s="71" t="str">
        <f>IFERROR(__xludf.DUMMYFUNCTION("""COMPUTED_VALUE"""),"Kirik")</f>
        <v>Kirik</v>
      </c>
      <c r="D67" s="72" t="str">
        <f>IFERROR(__xludf.DUMMYFUNCTION("""COMPUTED_VALUE"""),"www.tartu.advent.ee")</f>
        <v>www.tartu.advent.ee</v>
      </c>
      <c r="E67" s="73" t="str">
        <f>IFERROR(__xludf.DUMMYFUNCTION("""COMPUTED_VALUE"""),"529 0902")</f>
        <v>529 0902</v>
      </c>
      <c r="F67" s="73" t="str">
        <f>IFERROR(__xludf.DUMMYFUNCTION("""COMPUTED_VALUE"""),"hele.kulp@advent.ee")</f>
        <v>hele.kulp@advent.ee</v>
      </c>
      <c r="G67" s="73" t="str">
        <f>IFERROR(__xludf.DUMMYFUNCTION("""COMPUTED_VALUE"""),"Hele Kulp")</f>
        <v>Hele Kulp</v>
      </c>
      <c r="H67" s="73" t="str">
        <f>IFERROR(__xludf.DUMMYFUNCTION("""COMPUTED_VALUE"""),"Lille 18, 50110")</f>
        <v>Lille 18, 50110</v>
      </c>
      <c r="I67" s="68" t="str">
        <f>IFERROR(__xludf.DUMMYFUNCTION("""COMPUTED_VALUE"""),"150+")</f>
        <v>150+</v>
      </c>
      <c r="J67" s="68" t="str">
        <f>IFERROR(__xludf.DUMMYFUNCTION("""COMPUTED_VALUE"""),"Jah")</f>
        <v>Jah</v>
      </c>
      <c r="K67" s="68" t="str">
        <f>IFERROR(__xludf.DUMMYFUNCTION("""COMPUTED_VALUE"""),"Teine")</f>
        <v>Teine</v>
      </c>
      <c r="L67" s="68">
        <f>IFERROR(__xludf.DUMMYFUNCTION("""COMPUTED_VALUE"""),120.0)</f>
        <v>120</v>
      </c>
      <c r="M67" s="68"/>
      <c r="N67" s="68"/>
      <c r="O67" s="68" t="str">
        <f>IFERROR(__xludf.DUMMYFUNCTION("""COMPUTED_VALUE"""),"Puuduvad")</f>
        <v>Puuduvad</v>
      </c>
      <c r="P67" s="68" t="str">
        <f>IFERROR(__xludf.DUMMYFUNCTION("""COMPUTED_VALUE"""),"Puuduvad")</f>
        <v>Puuduvad</v>
      </c>
      <c r="Q67" s="68" t="str">
        <f>IFERROR(__xludf.DUMMYFUNCTION("""COMPUTED_VALUE"""),"Olemas")</f>
        <v>Olemas</v>
      </c>
      <c r="R67" s="68"/>
      <c r="S67" s="68" t="str">
        <f>IFERROR(__xludf.DUMMYFUNCTION("""COMPUTED_VALUE"""),"Ei")</f>
        <v>Ei</v>
      </c>
      <c r="T67" s="68" t="str">
        <f>IFERROR(__xludf.DUMMYFUNCTION("""COMPUTED_VALUE"""),"Seintele riputamisvõimalus")</f>
        <v>Seintele riputamisvõimalus</v>
      </c>
      <c r="U67" s="68"/>
      <c r="V67" s="68" t="str">
        <f>IFERROR(__xludf.DUMMYFUNCTION("""COMPUTED_VALUE"""),"Ei")</f>
        <v>Ei</v>
      </c>
      <c r="W67" s="68" t="str">
        <f>IFERROR(__xludf.DUMMYFUNCTION("""COMPUTED_VALUE"""),"Jah")</f>
        <v>Jah</v>
      </c>
      <c r="X67" s="68" t="str">
        <f>IFERROR(__xludf.DUMMYFUNCTION("""COMPUTED_VALUE"""),"Jah")</f>
        <v>Jah</v>
      </c>
      <c r="Y67" s="68" t="str">
        <f>IFERROR(__xludf.DUMMYFUNCTION("""COMPUTED_VALUE"""),"Tänaval")</f>
        <v>Tänaval</v>
      </c>
      <c r="Z67" s="68" t="str">
        <f>IFERROR(__xludf.DUMMYFUNCTION("""COMPUTED_VALUE"""),"Puudub")</f>
        <v>Puudub</v>
      </c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</row>
    <row r="68">
      <c r="A68" s="70" t="str">
        <f>IFERROR(__xludf.DUMMYFUNCTION("""COMPUTED_VALUE"""),"Tartu Jaani kirik")</f>
        <v>Tartu Jaani kirik</v>
      </c>
      <c r="B68" s="71" t="str">
        <f>IFERROR(__xludf.DUMMYFUNCTION("""COMPUTED_VALUE"""),"Tartu linn")</f>
        <v>Tartu linn</v>
      </c>
      <c r="C68" s="71" t="str">
        <f>IFERROR(__xludf.DUMMYFUNCTION("""COMPUTED_VALUE"""),"Kirik")</f>
        <v>Kirik</v>
      </c>
      <c r="D68" s="72" t="str">
        <f>IFERROR(__xludf.DUMMYFUNCTION("""COMPUTED_VALUE"""),"www.jaanikirik.ee")</f>
        <v>www.jaanikirik.ee</v>
      </c>
      <c r="E68" s="73" t="str">
        <f>IFERROR(__xludf.DUMMYFUNCTION("""COMPUTED_VALUE"""),"744 2229")</f>
        <v>744 2229</v>
      </c>
      <c r="F68" s="73" t="str">
        <f>IFERROR(__xludf.DUMMYFUNCTION("""COMPUTED_VALUE"""),"tartu.jaani@eelk.ee")</f>
        <v>tartu.jaani@eelk.ee</v>
      </c>
      <c r="G68" s="73" t="str">
        <f>IFERROR(__xludf.DUMMYFUNCTION("""COMPUTED_VALUE"""),"Triin Käpp")</f>
        <v>Triin Käpp</v>
      </c>
      <c r="H68" s="73" t="str">
        <f>IFERROR(__xludf.DUMMYFUNCTION("""COMPUTED_VALUE"""),"Jaani 5, 51007")</f>
        <v>Jaani 5, 51007</v>
      </c>
      <c r="I68" s="68" t="str">
        <f>IFERROR(__xludf.DUMMYFUNCTION("""COMPUTED_VALUE"""),"500+")</f>
        <v>500+</v>
      </c>
      <c r="J68" s="68" t="str">
        <f>IFERROR(__xludf.DUMMYFUNCTION("""COMPUTED_VALUE"""),"Jah")</f>
        <v>Jah</v>
      </c>
      <c r="K68" s="68" t="str">
        <f>IFERROR(__xludf.DUMMYFUNCTION("""COMPUTED_VALUE"""),"Esimene")</f>
        <v>Esimene</v>
      </c>
      <c r="L68" s="68">
        <f>IFERROR(__xludf.DUMMYFUNCTION("""COMPUTED_VALUE"""),415.0)</f>
        <v>415</v>
      </c>
      <c r="M68" s="68"/>
      <c r="N68" s="68"/>
      <c r="O68" s="68" t="str">
        <f>IFERROR(__xludf.DUMMYFUNCTION("""COMPUTED_VALUE"""),"Olemas")</f>
        <v>Olemas</v>
      </c>
      <c r="P68" s="68" t="str">
        <f>IFERROR(__xludf.DUMMYFUNCTION("""COMPUTED_VALUE"""),"Olemas")</f>
        <v>Olemas</v>
      </c>
      <c r="Q68" s="68" t="str">
        <f>IFERROR(__xludf.DUMMYFUNCTION("""COMPUTED_VALUE"""),"Olemas")</f>
        <v>Olemas</v>
      </c>
      <c r="R68" s="68"/>
      <c r="S68" s="68" t="str">
        <f>IFERROR(__xludf.DUMMYFUNCTION("""COMPUTED_VALUE"""),"Jah")</f>
        <v>Jah</v>
      </c>
      <c r="T68" s="68" t="str">
        <f>IFERROR(__xludf.DUMMYFUNCTION("""COMPUTED_VALUE"""),"Seintele riputamisvõimalus")</f>
        <v>Seintele riputamisvõimalus</v>
      </c>
      <c r="U68" s="68"/>
      <c r="V68" s="68" t="str">
        <f>IFERROR(__xludf.DUMMYFUNCTION("""COMPUTED_VALUE"""),"Jah")</f>
        <v>Jah</v>
      </c>
      <c r="W68" s="68" t="str">
        <f>IFERROR(__xludf.DUMMYFUNCTION("""COMPUTED_VALUE"""),"Jah")</f>
        <v>Jah</v>
      </c>
      <c r="X68" s="68" t="str">
        <f>IFERROR(__xludf.DUMMYFUNCTION("""COMPUTED_VALUE"""),"Jah")</f>
        <v>Jah</v>
      </c>
      <c r="Y68" s="68" t="str">
        <f>IFERROR(__xludf.DUMMYFUNCTION("""COMPUTED_VALUE"""),"Tänaval")</f>
        <v>Tänaval</v>
      </c>
      <c r="Z68" s="68" t="str">
        <f>IFERROR(__xludf.DUMMYFUNCTION("""COMPUTED_VALUE"""),"Puudub")</f>
        <v>Puudub</v>
      </c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</row>
    <row r="69">
      <c r="A69" s="70" t="str">
        <f>IFERROR(__xludf.DUMMYFUNCTION("""COMPUTED_VALUE"""),"Tartu Jumalaema Uinumise katedraalkirik")</f>
        <v>Tartu Jumalaema Uinumise katedraalkirik</v>
      </c>
      <c r="B69" s="71" t="str">
        <f>IFERROR(__xludf.DUMMYFUNCTION("""COMPUTED_VALUE"""),"Tartu linn")</f>
        <v>Tartu linn</v>
      </c>
      <c r="C69" s="71" t="str">
        <f>IFERROR(__xludf.DUMMYFUNCTION("""COMPUTED_VALUE"""),"Kirik")</f>
        <v>Kirik</v>
      </c>
      <c r="D69" s="72" t="str">
        <f>IFERROR(__xludf.DUMMYFUNCTION("""COMPUTED_VALUE"""),"www.eoc.ee/kogudus/tartu-jumalaema-uinumise-kogudus/")</f>
        <v>www.eoc.ee/kogudus/tartu-jumalaema-uinumise-kogudus/</v>
      </c>
      <c r="E69" s="73" t="str">
        <f>IFERROR(__xludf.DUMMYFUNCTION("""COMPUTED_VALUE"""),"5343 9916")</f>
        <v>5343 9916</v>
      </c>
      <c r="F69" s="73" t="str">
        <f>IFERROR(__xludf.DUMMYFUNCTION("""COMPUTED_VALUE"""),"vladimir@eoc.ee")</f>
        <v>vladimir@eoc.ee</v>
      </c>
      <c r="G69" s="73" t="str">
        <f>IFERROR(__xludf.DUMMYFUNCTION("""COMPUTED_VALUE"""),"Liidia Madison")</f>
        <v>Liidia Madison</v>
      </c>
      <c r="H69" s="73" t="str">
        <f>IFERROR(__xludf.DUMMYFUNCTION("""COMPUTED_VALUE"""),"Magasini 1, 51005")</f>
        <v>Magasini 1, 51005</v>
      </c>
      <c r="I69" s="68" t="str">
        <f>IFERROR(__xludf.DUMMYFUNCTION("""COMPUTED_VALUE"""),"200+")</f>
        <v>200+</v>
      </c>
      <c r="J69" s="68" t="str">
        <f>IFERROR(__xludf.DUMMYFUNCTION("""COMPUTED_VALUE"""),"Jah")</f>
        <v>Jah</v>
      </c>
      <c r="K69" s="68" t="str">
        <f>IFERROR(__xludf.DUMMYFUNCTION("""COMPUTED_VALUE"""),"Esimene")</f>
        <v>Esimene</v>
      </c>
      <c r="L69" s="68">
        <f>IFERROR(__xludf.DUMMYFUNCTION("""COMPUTED_VALUE"""),100.0)</f>
        <v>100</v>
      </c>
      <c r="M69" s="68"/>
      <c r="N69" s="68"/>
      <c r="O69" s="68" t="str">
        <f>IFERROR(__xludf.DUMMYFUNCTION("""COMPUTED_VALUE"""),"Puuduvad")</f>
        <v>Puuduvad</v>
      </c>
      <c r="P69" s="68" t="str">
        <f>IFERROR(__xludf.DUMMYFUNCTION("""COMPUTED_VALUE"""),"Puuduvad")</f>
        <v>Puuduvad</v>
      </c>
      <c r="Q69" s="68" t="str">
        <f>IFERROR(__xludf.DUMMYFUNCTION("""COMPUTED_VALUE"""),"Puuduvad")</f>
        <v>Puuduvad</v>
      </c>
      <c r="R69" s="68"/>
      <c r="S69" s="68" t="str">
        <f>IFERROR(__xludf.DUMMYFUNCTION("""COMPUTED_VALUE"""),"Ei")</f>
        <v>Ei</v>
      </c>
      <c r="T69" s="68" t="str">
        <f>IFERROR(__xludf.DUMMYFUNCTION("""COMPUTED_VALUE"""),"Ei")</f>
        <v>Ei</v>
      </c>
      <c r="U69" s="68"/>
      <c r="V69" s="68" t="str">
        <f>IFERROR(__xludf.DUMMYFUNCTION("""COMPUTED_VALUE"""),"Ei")</f>
        <v>Ei</v>
      </c>
      <c r="W69" s="68" t="str">
        <f>IFERROR(__xludf.DUMMYFUNCTION("""COMPUTED_VALUE"""),"Ei")</f>
        <v>Ei</v>
      </c>
      <c r="X69" s="68" t="str">
        <f>IFERROR(__xludf.DUMMYFUNCTION("""COMPUTED_VALUE"""),"Jah")</f>
        <v>Jah</v>
      </c>
      <c r="Y69" s="68" t="str">
        <f>IFERROR(__xludf.DUMMYFUNCTION("""COMPUTED_VALUE"""),"Tänaval")</f>
        <v>Tänaval</v>
      </c>
      <c r="Z69" s="68" t="str">
        <f>IFERROR(__xludf.DUMMYFUNCTION("""COMPUTED_VALUE"""),"Hoov")</f>
        <v>Hoov</v>
      </c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</row>
    <row r="70">
      <c r="A70" s="70" t="str">
        <f>IFERROR(__xludf.DUMMYFUNCTION("""COMPUTED_VALUE"""),"Tartu katoliku kirik")</f>
        <v>Tartu katoliku kirik</v>
      </c>
      <c r="B70" s="71" t="str">
        <f>IFERROR(__xludf.DUMMYFUNCTION("""COMPUTED_VALUE"""),"Tartu linn")</f>
        <v>Tartu linn</v>
      </c>
      <c r="C70" s="71" t="str">
        <f>IFERROR(__xludf.DUMMYFUNCTION("""COMPUTED_VALUE"""),"Kirik")</f>
        <v>Kirik</v>
      </c>
      <c r="D70" s="72" t="str">
        <f>IFERROR(__xludf.DUMMYFUNCTION("""COMPUTED_VALUE"""),"www.neitsimaarja.ee")</f>
        <v>www.neitsimaarja.ee</v>
      </c>
      <c r="E70" s="73" t="str">
        <f>IFERROR(__xludf.DUMMYFUNCTION("""COMPUTED_VALUE"""),"742 2745")</f>
        <v>742 2745</v>
      </c>
      <c r="F70" s="73" t="str">
        <f>IFERROR(__xludf.DUMMYFUNCTION("""COMPUTED_VALUE"""),"isa_miguel@hotmail.com")</f>
        <v>isa_miguel@hotmail.com</v>
      </c>
      <c r="G70" s="73" t="str">
        <f>IFERROR(__xludf.DUMMYFUNCTION("""COMPUTED_VALUE"""),"Miguel Rosenthal")</f>
        <v>Miguel Rosenthal</v>
      </c>
      <c r="H70" s="73" t="str">
        <f>IFERROR(__xludf.DUMMYFUNCTION("""COMPUTED_VALUE"""),"Veski 1-1A, 51005")</f>
        <v>Veski 1-1A, 51005</v>
      </c>
      <c r="I70" s="68" t="str">
        <f>IFERROR(__xludf.DUMMYFUNCTION("""COMPUTED_VALUE"""),"150+")</f>
        <v>150+</v>
      </c>
      <c r="J70" s="68" t="str">
        <f>IFERROR(__xludf.DUMMYFUNCTION("""COMPUTED_VALUE"""),"Jah")</f>
        <v>Jah</v>
      </c>
      <c r="K70" s="68" t="str">
        <f>IFERROR(__xludf.DUMMYFUNCTION("""COMPUTED_VALUE"""),"Esimene")</f>
        <v>Esimene</v>
      </c>
      <c r="L70" s="68">
        <f>IFERROR(__xludf.DUMMYFUNCTION("""COMPUTED_VALUE"""),100.0)</f>
        <v>100</v>
      </c>
      <c r="M70" s="68"/>
      <c r="N70" s="68"/>
      <c r="O70" s="68" t="str">
        <f>IFERROR(__xludf.DUMMYFUNCTION("""COMPUTED_VALUE"""),"Puuduvad")</f>
        <v>Puuduvad</v>
      </c>
      <c r="P70" s="68" t="str">
        <f>IFERROR(__xludf.DUMMYFUNCTION("""COMPUTED_VALUE"""),"Puuduvad")</f>
        <v>Puuduvad</v>
      </c>
      <c r="Q70" s="68" t="str">
        <f>IFERROR(__xludf.DUMMYFUNCTION("""COMPUTED_VALUE"""),"Puuduvad")</f>
        <v>Puuduvad</v>
      </c>
      <c r="R70" s="68"/>
      <c r="S70" s="68" t="str">
        <f>IFERROR(__xludf.DUMMYFUNCTION("""COMPUTED_VALUE"""),"Ei")</f>
        <v>Ei</v>
      </c>
      <c r="T70" s="68" t="str">
        <f>IFERROR(__xludf.DUMMYFUNCTION("""COMPUTED_VALUE"""),"Ei")</f>
        <v>Ei</v>
      </c>
      <c r="U70" s="68"/>
      <c r="V70" s="68" t="str">
        <f>IFERROR(__xludf.DUMMYFUNCTION("""COMPUTED_VALUE"""),"Jah")</f>
        <v>Jah</v>
      </c>
      <c r="W70" s="68" t="str">
        <f>IFERROR(__xludf.DUMMYFUNCTION("""COMPUTED_VALUE"""),"Jah")</f>
        <v>Jah</v>
      </c>
      <c r="X70" s="68" t="str">
        <f>IFERROR(__xludf.DUMMYFUNCTION("""COMPUTED_VALUE"""),"Jah")</f>
        <v>Jah</v>
      </c>
      <c r="Y70" s="68" t="str">
        <f>IFERROR(__xludf.DUMMYFUNCTION("""COMPUTED_VALUE"""),"Tänaval")</f>
        <v>Tänaval</v>
      </c>
      <c r="Z70" s="68" t="str">
        <f>IFERROR(__xludf.DUMMYFUNCTION("""COMPUTED_VALUE"""),"Suur õueala")</f>
        <v>Suur õueala</v>
      </c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</row>
    <row r="71">
      <c r="A71" s="70" t="str">
        <f>IFERROR(__xludf.DUMMYFUNCTION("""COMPUTED_VALUE"""),"Tartu Kolgata kirik")</f>
        <v>Tartu Kolgata kirik</v>
      </c>
      <c r="B71" s="71" t="str">
        <f>IFERROR(__xludf.DUMMYFUNCTION("""COMPUTED_VALUE"""),"Tartu linn")</f>
        <v>Tartu linn</v>
      </c>
      <c r="C71" s="71" t="str">
        <f>IFERROR(__xludf.DUMMYFUNCTION("""COMPUTED_VALUE"""),"Kirik")</f>
        <v>Kirik</v>
      </c>
      <c r="D71" s="72" t="str">
        <f>IFERROR(__xludf.DUMMYFUNCTION("""COMPUTED_VALUE"""),"www.kolgata.ee")</f>
        <v>www.kolgata.ee</v>
      </c>
      <c r="E71" s="73" t="str">
        <f>IFERROR(__xludf.DUMMYFUNCTION("""COMPUTED_VALUE"""),"5685 5422")</f>
        <v>5685 5422</v>
      </c>
      <c r="F71" s="73" t="str">
        <f>IFERROR(__xludf.DUMMYFUNCTION("""COMPUTED_VALUE"""),"pastor@kolgata.ee")</f>
        <v>pastor@kolgata.ee</v>
      </c>
      <c r="G71" s="73" t="str">
        <f>IFERROR(__xludf.DUMMYFUNCTION("""COMPUTED_VALUE"""),"Tiit Torila")</f>
        <v>Tiit Torila</v>
      </c>
      <c r="H71" s="73" t="str">
        <f>IFERROR(__xludf.DUMMYFUNCTION("""COMPUTED_VALUE"""),"Veski 40, 50409")</f>
        <v>Veski 40, 50409</v>
      </c>
      <c r="I71" s="68" t="str">
        <f>IFERROR(__xludf.DUMMYFUNCTION("""COMPUTED_VALUE"""),"300+")</f>
        <v>300+</v>
      </c>
      <c r="J71" s="68" t="str">
        <f>IFERROR(__xludf.DUMMYFUNCTION("""COMPUTED_VALUE"""),"Jah")</f>
        <v>Jah</v>
      </c>
      <c r="K71" s="68" t="str">
        <f>IFERROR(__xludf.DUMMYFUNCTION("""COMPUTED_VALUE"""),"Esimene")</f>
        <v>Esimene</v>
      </c>
      <c r="L71" s="68">
        <f>IFERROR(__xludf.DUMMYFUNCTION("""COMPUTED_VALUE"""),250.0)</f>
        <v>250</v>
      </c>
      <c r="M71" s="68"/>
      <c r="N71" s="68">
        <f>IFERROR(__xludf.DUMMYFUNCTION("""COMPUTED_VALUE"""),50.0)</f>
        <v>50</v>
      </c>
      <c r="O71" s="68" t="str">
        <f>IFERROR(__xludf.DUMMYFUNCTION("""COMPUTED_VALUE"""),"Olemas")</f>
        <v>Olemas</v>
      </c>
      <c r="P71" s="68" t="str">
        <f>IFERROR(__xludf.DUMMYFUNCTION("""COMPUTED_VALUE"""),"Olemas")</f>
        <v>Olemas</v>
      </c>
      <c r="Q71" s="68" t="str">
        <f>IFERROR(__xludf.DUMMYFUNCTION("""COMPUTED_VALUE"""),"Olemas")</f>
        <v>Olemas</v>
      </c>
      <c r="R71" s="68"/>
      <c r="S71" s="68" t="str">
        <f>IFERROR(__xludf.DUMMYFUNCTION("""COMPUTED_VALUE"""),"Ei")</f>
        <v>Ei</v>
      </c>
      <c r="T71" s="68" t="str">
        <f>IFERROR(__xludf.DUMMYFUNCTION("""COMPUTED_VALUE"""),"Ei")</f>
        <v>Ei</v>
      </c>
      <c r="U71" s="68"/>
      <c r="V71" s="68" t="str">
        <f>IFERROR(__xludf.DUMMYFUNCTION("""COMPUTED_VALUE"""),"Jah")</f>
        <v>Jah</v>
      </c>
      <c r="W71" s="68" t="str">
        <f>IFERROR(__xludf.DUMMYFUNCTION("""COMPUTED_VALUE"""),"Jah")</f>
        <v>Jah</v>
      </c>
      <c r="X71" s="68" t="str">
        <f>IFERROR(__xludf.DUMMYFUNCTION("""COMPUTED_VALUE"""),"Jah")</f>
        <v>Jah</v>
      </c>
      <c r="Y71" s="68" t="str">
        <f>IFERROR(__xludf.DUMMYFUNCTION("""COMPUTED_VALUE"""),"Tänaval")</f>
        <v>Tänaval</v>
      </c>
      <c r="Z71" s="68" t="str">
        <f>IFERROR(__xludf.DUMMYFUNCTION("""COMPUTED_VALUE"""),"Suur õueala")</f>
        <v>Suur õueala</v>
      </c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</row>
    <row r="72">
      <c r="A72" s="70" t="str">
        <f>IFERROR(__xludf.DUMMYFUNCTION("""COMPUTED_VALUE"""),"Tartu Maarja kirik")</f>
        <v>Tartu Maarja kirik</v>
      </c>
      <c r="B72" s="71" t="str">
        <f>IFERROR(__xludf.DUMMYFUNCTION("""COMPUTED_VALUE"""),"Tartu linn")</f>
        <v>Tartu linn</v>
      </c>
      <c r="C72" s="71" t="str">
        <f>IFERROR(__xludf.DUMMYFUNCTION("""COMPUTED_VALUE"""),"Kirik")</f>
        <v>Kirik</v>
      </c>
      <c r="D72" s="72" t="str">
        <f>IFERROR(__xludf.DUMMYFUNCTION("""COMPUTED_VALUE"""),"www.tartumaarja.eelk.ee")</f>
        <v>www.tartumaarja.eelk.ee</v>
      </c>
      <c r="E72" s="73" t="str">
        <f>IFERROR(__xludf.DUMMYFUNCTION("""COMPUTED_VALUE"""),"734 1111")</f>
        <v>734 1111</v>
      </c>
      <c r="F72" s="73" t="str">
        <f>IFERROR(__xludf.DUMMYFUNCTION("""COMPUTED_VALUE"""),"tartu.maarja@eelk.ee")</f>
        <v>tartu.maarja@eelk.ee</v>
      </c>
      <c r="G72" s="73" t="str">
        <f>IFERROR(__xludf.DUMMYFUNCTION("""COMPUTED_VALUE"""),"Timo Svedko")</f>
        <v>Timo Svedko</v>
      </c>
      <c r="H72" s="73" t="str">
        <f>IFERROR(__xludf.DUMMYFUNCTION("""COMPUTED_VALUE"""),"Õpetaja 5, 51003")</f>
        <v>Õpetaja 5, 51003</v>
      </c>
      <c r="I72" s="68" t="str">
        <f>IFERROR(__xludf.DUMMYFUNCTION("""COMPUTED_VALUE"""),"200+")</f>
        <v>200+</v>
      </c>
      <c r="J72" s="68" t="str">
        <f>IFERROR(__xludf.DUMMYFUNCTION("""COMPUTED_VALUE"""),"Jah")</f>
        <v>Jah</v>
      </c>
      <c r="K72" s="68" t="str">
        <f>IFERROR(__xludf.DUMMYFUNCTION("""COMPUTED_VALUE"""),"Esimene")</f>
        <v>Esimene</v>
      </c>
      <c r="L72" s="68">
        <f>IFERROR(__xludf.DUMMYFUNCTION("""COMPUTED_VALUE"""),150.0)</f>
        <v>150</v>
      </c>
      <c r="M72" s="68"/>
      <c r="N72" s="68"/>
      <c r="O72" s="68" t="str">
        <f>IFERROR(__xludf.DUMMYFUNCTION("""COMPUTED_VALUE"""),"Olemas")</f>
        <v>Olemas</v>
      </c>
      <c r="P72" s="68" t="str">
        <f>IFERROR(__xludf.DUMMYFUNCTION("""COMPUTED_VALUE"""),"Puuduvad")</f>
        <v>Puuduvad</v>
      </c>
      <c r="Q72" s="68" t="str">
        <f>IFERROR(__xludf.DUMMYFUNCTION("""COMPUTED_VALUE"""),"Puuduvad")</f>
        <v>Puuduvad</v>
      </c>
      <c r="R72" s="68"/>
      <c r="S72" s="68" t="str">
        <f>IFERROR(__xludf.DUMMYFUNCTION("""COMPUTED_VALUE"""),"Ei")</f>
        <v>Ei</v>
      </c>
      <c r="T72" s="68" t="str">
        <f>IFERROR(__xludf.DUMMYFUNCTION("""COMPUTED_VALUE"""),"Ei")</f>
        <v>Ei</v>
      </c>
      <c r="U72" s="68"/>
      <c r="V72" s="68" t="str">
        <f>IFERROR(__xludf.DUMMYFUNCTION("""COMPUTED_VALUE"""),"Ei")</f>
        <v>Ei</v>
      </c>
      <c r="W72" s="68" t="str">
        <f>IFERROR(__xludf.DUMMYFUNCTION("""COMPUTED_VALUE"""),"Jah")</f>
        <v>Jah</v>
      </c>
      <c r="X72" s="68" t="str">
        <f>IFERROR(__xludf.DUMMYFUNCTION("""COMPUTED_VALUE"""),"Jah")</f>
        <v>Jah</v>
      </c>
      <c r="Y72" s="68" t="str">
        <f>IFERROR(__xludf.DUMMYFUNCTION("""COMPUTED_VALUE"""),"Tänaval")</f>
        <v>Tänaval</v>
      </c>
      <c r="Z72" s="68" t="str">
        <f>IFERROR(__xludf.DUMMYFUNCTION("""COMPUTED_VALUE"""),"Kiriku ees")</f>
        <v>Kiriku ees</v>
      </c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</row>
    <row r="73">
      <c r="A73" s="70" t="str">
        <f>IFERROR(__xludf.DUMMYFUNCTION("""COMPUTED_VALUE"""),"Tartu Pauluse kirik")</f>
        <v>Tartu Pauluse kirik</v>
      </c>
      <c r="B73" s="71" t="str">
        <f>IFERROR(__xludf.DUMMYFUNCTION("""COMPUTED_VALUE"""),"Tartu linn")</f>
        <v>Tartu linn</v>
      </c>
      <c r="C73" s="71" t="str">
        <f>IFERROR(__xludf.DUMMYFUNCTION("""COMPUTED_VALUE"""),"Kirik")</f>
        <v>Kirik</v>
      </c>
      <c r="D73" s="72" t="str">
        <f>IFERROR(__xludf.DUMMYFUNCTION("""COMPUTED_VALUE"""),"www.tartupauluse.ee")</f>
        <v>www.tartupauluse.ee</v>
      </c>
      <c r="E73" s="73" t="str">
        <f>IFERROR(__xludf.DUMMYFUNCTION("""COMPUTED_VALUE"""),"5550 6363")</f>
        <v>5550 6363</v>
      </c>
      <c r="F73" s="73" t="str">
        <f>IFERROR(__xludf.DUMMYFUNCTION("""COMPUTED_VALUE"""),"tartu.pauluse@eelk.ee")</f>
        <v>tartu.pauluse@eelk.ee</v>
      </c>
      <c r="G73" s="73" t="str">
        <f>IFERROR(__xludf.DUMMYFUNCTION("""COMPUTED_VALUE"""),"Kristjan Luhamets")</f>
        <v>Kristjan Luhamets</v>
      </c>
      <c r="H73" s="73" t="str">
        <f>IFERROR(__xludf.DUMMYFUNCTION("""COMPUTED_VALUE"""),"Riia 27, 51010")</f>
        <v>Riia 27, 51010</v>
      </c>
      <c r="I73" s="68" t="str">
        <f>IFERROR(__xludf.DUMMYFUNCTION("""COMPUTED_VALUE"""),"1100+")</f>
        <v>1100+</v>
      </c>
      <c r="J73" s="68" t="str">
        <f>IFERROR(__xludf.DUMMYFUNCTION("""COMPUTED_VALUE"""),"Jah")</f>
        <v>Jah</v>
      </c>
      <c r="K73" s="68" t="str">
        <f>IFERROR(__xludf.DUMMYFUNCTION("""COMPUTED_VALUE"""),"Esimene")</f>
        <v>Esimene</v>
      </c>
      <c r="L73" s="68">
        <f>IFERROR(__xludf.DUMMYFUNCTION("""COMPUTED_VALUE"""),1000.0)</f>
        <v>1000</v>
      </c>
      <c r="M73" s="68"/>
      <c r="N73" s="68">
        <f>IFERROR(__xludf.DUMMYFUNCTION("""COMPUTED_VALUE"""),95.0)</f>
        <v>95</v>
      </c>
      <c r="O73" s="68" t="str">
        <f>IFERROR(__xludf.DUMMYFUNCTION("""COMPUTED_VALUE"""),"Olemas")</f>
        <v>Olemas</v>
      </c>
      <c r="P73" s="68" t="str">
        <f>IFERROR(__xludf.DUMMYFUNCTION("""COMPUTED_VALUE"""),"Puuduvad")</f>
        <v>Puuduvad</v>
      </c>
      <c r="Q73" s="68" t="str">
        <f>IFERROR(__xludf.DUMMYFUNCTION("""COMPUTED_VALUE"""),"Olemas")</f>
        <v>Olemas</v>
      </c>
      <c r="R73" s="68"/>
      <c r="S73" s="68" t="str">
        <f>IFERROR(__xludf.DUMMYFUNCTION("""COMPUTED_VALUE"""),"Ei")</f>
        <v>Ei</v>
      </c>
      <c r="T73" s="68" t="str">
        <f>IFERROR(__xludf.DUMMYFUNCTION("""COMPUTED_VALUE"""),"Ei")</f>
        <v>Ei</v>
      </c>
      <c r="U73" s="68"/>
      <c r="V73" s="68" t="str">
        <f>IFERROR(__xludf.DUMMYFUNCTION("""COMPUTED_VALUE"""),"Jah")</f>
        <v>Jah</v>
      </c>
      <c r="W73" s="68" t="str">
        <f>IFERROR(__xludf.DUMMYFUNCTION("""COMPUTED_VALUE"""),"Jah")</f>
        <v>Jah</v>
      </c>
      <c r="X73" s="68" t="str">
        <f>IFERROR(__xludf.DUMMYFUNCTION("""COMPUTED_VALUE"""),"Jah")</f>
        <v>Jah</v>
      </c>
      <c r="Y73" s="68" t="str">
        <f>IFERROR(__xludf.DUMMYFUNCTION("""COMPUTED_VALUE"""),"Parklas")</f>
        <v>Parklas</v>
      </c>
      <c r="Z73" s="68" t="str">
        <f>IFERROR(__xludf.DUMMYFUNCTION("""COMPUTED_VALUE"""),"Aed")</f>
        <v>Aed</v>
      </c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</row>
    <row r="74">
      <c r="A74" s="70" t="str">
        <f>IFERROR(__xludf.DUMMYFUNCTION("""COMPUTED_VALUE"""),"Tartu Peetri kirik")</f>
        <v>Tartu Peetri kirik</v>
      </c>
      <c r="B74" s="71" t="str">
        <f>IFERROR(__xludf.DUMMYFUNCTION("""COMPUTED_VALUE"""),"Tartu linn")</f>
        <v>Tartu linn</v>
      </c>
      <c r="C74" s="71" t="str">
        <f>IFERROR(__xludf.DUMMYFUNCTION("""COMPUTED_VALUE"""),"Kirik")</f>
        <v>Kirik</v>
      </c>
      <c r="D74" s="72" t="str">
        <f>IFERROR(__xludf.DUMMYFUNCTION("""COMPUTED_VALUE"""),"www.tartupeetri.eelk.ee")</f>
        <v>www.tartupeetri.eelk.ee</v>
      </c>
      <c r="E74" s="73" t="str">
        <f>IFERROR(__xludf.DUMMYFUNCTION("""COMPUTED_VALUE"""),"5532 7137")</f>
        <v>5532 7137</v>
      </c>
      <c r="F74" s="73" t="str">
        <f>IFERROR(__xludf.DUMMYFUNCTION("""COMPUTED_VALUE"""),"tartu.peetri@eelk.ee")</f>
        <v>tartu.peetri@eelk.ee</v>
      </c>
      <c r="G74" s="73" t="str">
        <f>IFERROR(__xludf.DUMMYFUNCTION("""COMPUTED_VALUE"""),"Ants Tooming")</f>
        <v>Ants Tooming</v>
      </c>
      <c r="H74" s="73" t="str">
        <f>IFERROR(__xludf.DUMMYFUNCTION("""COMPUTED_VALUE"""),"Narva mnt 104, 50303")</f>
        <v>Narva mnt 104, 50303</v>
      </c>
      <c r="I74" s="68" t="str">
        <f>IFERROR(__xludf.DUMMYFUNCTION("""COMPUTED_VALUE"""),"1200+")</f>
        <v>1200+</v>
      </c>
      <c r="J74" s="68" t="str">
        <f>IFERROR(__xludf.DUMMYFUNCTION("""COMPUTED_VALUE"""),"Jah")</f>
        <v>Jah</v>
      </c>
      <c r="K74" s="68" t="str">
        <f>IFERROR(__xludf.DUMMYFUNCTION("""COMPUTED_VALUE"""),"Esimene")</f>
        <v>Esimene</v>
      </c>
      <c r="L74" s="68">
        <f>IFERROR(__xludf.DUMMYFUNCTION("""COMPUTED_VALUE"""),1000.0)</f>
        <v>1000</v>
      </c>
      <c r="M74" s="68"/>
      <c r="N74" s="68"/>
      <c r="O74" s="68" t="str">
        <f>IFERROR(__xludf.DUMMYFUNCTION("""COMPUTED_VALUE"""),"Olemas")</f>
        <v>Olemas</v>
      </c>
      <c r="P74" s="68" t="str">
        <f>IFERROR(__xludf.DUMMYFUNCTION("""COMPUTED_VALUE"""),"Puuduvad")</f>
        <v>Puuduvad</v>
      </c>
      <c r="Q74" s="68" t="str">
        <f>IFERROR(__xludf.DUMMYFUNCTION("""COMPUTED_VALUE"""),"Puuduvad")</f>
        <v>Puuduvad</v>
      </c>
      <c r="R74" s="68"/>
      <c r="S74" s="68" t="str">
        <f>IFERROR(__xludf.DUMMYFUNCTION("""COMPUTED_VALUE"""),"Ei")</f>
        <v>Ei</v>
      </c>
      <c r="T74" s="68" t="str">
        <f>IFERROR(__xludf.DUMMYFUNCTION("""COMPUTED_VALUE"""),"Ei")</f>
        <v>Ei</v>
      </c>
      <c r="U74" s="68"/>
      <c r="V74" s="68" t="str">
        <f>IFERROR(__xludf.DUMMYFUNCTION("""COMPUTED_VALUE"""),"Jah")</f>
        <v>Jah</v>
      </c>
      <c r="W74" s="68" t="str">
        <f>IFERROR(__xludf.DUMMYFUNCTION("""COMPUTED_VALUE"""),"Jah")</f>
        <v>Jah</v>
      </c>
      <c r="X74" s="68" t="str">
        <f>IFERROR(__xludf.DUMMYFUNCTION("""COMPUTED_VALUE"""),"Jah")</f>
        <v>Jah</v>
      </c>
      <c r="Y74" s="68" t="str">
        <f>IFERROR(__xludf.DUMMYFUNCTION("""COMPUTED_VALUE"""),"Parklas")</f>
        <v>Parklas</v>
      </c>
      <c r="Z74" s="68" t="str">
        <f>IFERROR(__xludf.DUMMYFUNCTION("""COMPUTED_VALUE"""),"Aed")</f>
        <v>Aed</v>
      </c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</row>
    <row r="75">
      <c r="A75" s="70" t="str">
        <f>IFERROR(__xludf.DUMMYFUNCTION("""COMPUTED_VALUE"""),"Tartu Püha Aleksandri kirik")</f>
        <v>Tartu Püha Aleksandri kirik</v>
      </c>
      <c r="B75" s="71" t="str">
        <f>IFERROR(__xludf.DUMMYFUNCTION("""COMPUTED_VALUE"""),"Tartu linn")</f>
        <v>Tartu linn</v>
      </c>
      <c r="C75" s="71" t="str">
        <f>IFERROR(__xludf.DUMMYFUNCTION("""COMPUTED_VALUE"""),"Kirik")</f>
        <v>Kirik</v>
      </c>
      <c r="D75" s="72" t="str">
        <f>IFERROR(__xludf.DUMMYFUNCTION("""COMPUTED_VALUE"""),"www.eoc.ee/kogudus/tartu-puhade-aleksandrite-kogudus/")</f>
        <v>www.eoc.ee/kogudus/tartu-puhade-aleksandrite-kogudus/</v>
      </c>
      <c r="E75" s="73" t="str">
        <f>IFERROR(__xludf.DUMMYFUNCTION("""COMPUTED_VALUE"""),"5342 2532")</f>
        <v>5342 2532</v>
      </c>
      <c r="F75" s="73" t="str">
        <f>IFERROR(__xludf.DUMMYFUNCTION("""COMPUTED_VALUE"""),"vadim@eoc.ee")</f>
        <v>vadim@eoc.ee</v>
      </c>
      <c r="G75" s="73" t="str">
        <f>IFERROR(__xludf.DUMMYFUNCTION("""COMPUTED_VALUE"""),"Vadim Rebase")</f>
        <v>Vadim Rebase</v>
      </c>
      <c r="H75" s="73" t="str">
        <f>IFERROR(__xludf.DUMMYFUNCTION("""COMPUTED_VALUE"""),"Sõbra 19, 50107")</f>
        <v>Sõbra 19, 50107</v>
      </c>
      <c r="I75" s="68" t="str">
        <f>IFERROR(__xludf.DUMMYFUNCTION("""COMPUTED_VALUE"""),"150+")</f>
        <v>150+</v>
      </c>
      <c r="J75" s="68" t="str">
        <f>IFERROR(__xludf.DUMMYFUNCTION("""COMPUTED_VALUE"""),"Jah")</f>
        <v>Jah</v>
      </c>
      <c r="K75" s="68" t="str">
        <f>IFERROR(__xludf.DUMMYFUNCTION("""COMPUTED_VALUE"""),"Esimene")</f>
        <v>Esimene</v>
      </c>
      <c r="L75" s="68">
        <f>IFERROR(__xludf.DUMMYFUNCTION("""COMPUTED_VALUE"""),150.0)</f>
        <v>150</v>
      </c>
      <c r="M75" s="68"/>
      <c r="N75" s="68"/>
      <c r="O75" s="68" t="str">
        <f>IFERROR(__xludf.DUMMYFUNCTION("""COMPUTED_VALUE"""),"Puuduvad")</f>
        <v>Puuduvad</v>
      </c>
      <c r="P75" s="68" t="str">
        <f>IFERROR(__xludf.DUMMYFUNCTION("""COMPUTED_VALUE"""),"Puuduvad")</f>
        <v>Puuduvad</v>
      </c>
      <c r="Q75" s="68" t="str">
        <f>IFERROR(__xludf.DUMMYFUNCTION("""COMPUTED_VALUE"""),"Puuduvad")</f>
        <v>Puuduvad</v>
      </c>
      <c r="R75" s="68"/>
      <c r="S75" s="68" t="str">
        <f>IFERROR(__xludf.DUMMYFUNCTION("""COMPUTED_VALUE"""),"Ei")</f>
        <v>Ei</v>
      </c>
      <c r="T75" s="68" t="str">
        <f>IFERROR(__xludf.DUMMYFUNCTION("""COMPUTED_VALUE"""),"Ei")</f>
        <v>Ei</v>
      </c>
      <c r="U75" s="68"/>
      <c r="V75" s="68" t="str">
        <f>IFERROR(__xludf.DUMMYFUNCTION("""COMPUTED_VALUE"""),"Jah")</f>
        <v>Jah</v>
      </c>
      <c r="W75" s="68" t="str">
        <f>IFERROR(__xludf.DUMMYFUNCTION("""COMPUTED_VALUE"""),"Jah")</f>
        <v>Jah</v>
      </c>
      <c r="X75" s="68" t="str">
        <f>IFERROR(__xludf.DUMMYFUNCTION("""COMPUTED_VALUE"""),"Jah")</f>
        <v>Jah</v>
      </c>
      <c r="Y75" s="68" t="str">
        <f>IFERROR(__xludf.DUMMYFUNCTION("""COMPUTED_VALUE"""),"Tänaval")</f>
        <v>Tänaval</v>
      </c>
      <c r="Z75" s="68" t="str">
        <f>IFERROR(__xludf.DUMMYFUNCTION("""COMPUTED_VALUE"""),"Aed")</f>
        <v>Aed</v>
      </c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</row>
    <row r="76">
      <c r="A76" s="70" t="str">
        <f>IFERROR(__xludf.DUMMYFUNCTION("""COMPUTED_VALUE"""),"Tartu Püha Luuka kirik")</f>
        <v>Tartu Püha Luuka kirik</v>
      </c>
      <c r="B76" s="71" t="str">
        <f>IFERROR(__xludf.DUMMYFUNCTION("""COMPUTED_VALUE"""),"Tartu linn")</f>
        <v>Tartu linn</v>
      </c>
      <c r="C76" s="73" t="str">
        <f>IFERROR(__xludf.DUMMYFUNCTION("""COMPUTED_VALUE"""),"Kirik")</f>
        <v>Kirik</v>
      </c>
      <c r="D76" s="72" t="str">
        <f>IFERROR(__xludf.DUMMYFUNCTION("""COMPUTED_VALUE"""),"www.tartu.metodistikirik.ee")</f>
        <v>www.tartu.metodistikirik.ee</v>
      </c>
      <c r="E76" s="73" t="str">
        <f>IFERROR(__xludf.DUMMYFUNCTION("""COMPUTED_VALUE"""),"740 7950")</f>
        <v>740 7950</v>
      </c>
      <c r="F76" s="71" t="str">
        <f>IFERROR(__xludf.DUMMYFUNCTION("""COMPUTED_VALUE"""),"tartu@metodistikirik.ee")</f>
        <v>tartu@metodistikirik.ee</v>
      </c>
      <c r="G76" s="73" t="str">
        <f>IFERROR(__xludf.DUMMYFUNCTION("""COMPUTED_VALUE"""),"Priit Tamm")</f>
        <v>Priit Tamm</v>
      </c>
      <c r="H76" s="73" t="str">
        <f>IFERROR(__xludf.DUMMYFUNCTION("""COMPUTED_VALUE"""),"Vallikraavi 16a, 51003")</f>
        <v>Vallikraavi 16a, 51003</v>
      </c>
      <c r="I76" s="68" t="str">
        <f>IFERROR(__xludf.DUMMYFUNCTION("""COMPUTED_VALUE"""),"200+")</f>
        <v>200+</v>
      </c>
      <c r="J76" s="68" t="str">
        <f>IFERROR(__xludf.DUMMYFUNCTION("""COMPUTED_VALUE"""),"Jah")</f>
        <v>Jah</v>
      </c>
      <c r="K76" s="68" t="str">
        <f>IFERROR(__xludf.DUMMYFUNCTION("""COMPUTED_VALUE"""),"Esimene")</f>
        <v>Esimene</v>
      </c>
      <c r="L76" s="68">
        <f>IFERROR(__xludf.DUMMYFUNCTION("""COMPUTED_VALUE"""),140.0)</f>
        <v>140</v>
      </c>
      <c r="M76" s="68"/>
      <c r="N76" s="68">
        <f>IFERROR(__xludf.DUMMYFUNCTION("""COMPUTED_VALUE"""),80.0)</f>
        <v>80</v>
      </c>
      <c r="O76" s="68" t="str">
        <f>IFERROR(__xludf.DUMMYFUNCTION("""COMPUTED_VALUE"""),"Olemas")</f>
        <v>Olemas</v>
      </c>
      <c r="P76" s="68" t="str">
        <f>IFERROR(__xludf.DUMMYFUNCTION("""COMPUTED_VALUE"""),"Puuduvad")</f>
        <v>Puuduvad</v>
      </c>
      <c r="Q76" s="68" t="str">
        <f>IFERROR(__xludf.DUMMYFUNCTION("""COMPUTED_VALUE"""),"Olemas")</f>
        <v>Olemas</v>
      </c>
      <c r="R76" s="68"/>
      <c r="S76" s="68" t="str">
        <f>IFERROR(__xludf.DUMMYFUNCTION("""COMPUTED_VALUE"""),"Ei")</f>
        <v>Ei</v>
      </c>
      <c r="T76" s="68" t="str">
        <f>IFERROR(__xludf.DUMMYFUNCTION("""COMPUTED_VALUE"""),"Ei")</f>
        <v>Ei</v>
      </c>
      <c r="U76" s="68"/>
      <c r="V76" s="68" t="str">
        <f>IFERROR(__xludf.DUMMYFUNCTION("""COMPUTED_VALUE"""),"Jah")</f>
        <v>Jah</v>
      </c>
      <c r="W76" s="68" t="str">
        <f>IFERROR(__xludf.DUMMYFUNCTION("""COMPUTED_VALUE"""),"Jah")</f>
        <v>Jah</v>
      </c>
      <c r="X76" s="68" t="str">
        <f>IFERROR(__xludf.DUMMYFUNCTION("""COMPUTED_VALUE"""),"Jah")</f>
        <v>Jah</v>
      </c>
      <c r="Y76" s="68" t="str">
        <f>IFERROR(__xludf.DUMMYFUNCTION("""COMPUTED_VALUE"""),"Tänaval/parklas")</f>
        <v>Tänaval/parklas</v>
      </c>
      <c r="Z76" s="68" t="str">
        <f>IFERROR(__xludf.DUMMYFUNCTION("""COMPUTED_VALUE"""),"Suur aed")</f>
        <v>Suur aed</v>
      </c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</row>
    <row r="77">
      <c r="A77" s="70" t="str">
        <f>IFERROR(__xludf.DUMMYFUNCTION("""COMPUTED_VALUE"""),"Tartu Salemi kirik")</f>
        <v>Tartu Salemi kirik</v>
      </c>
      <c r="B77" s="71" t="str">
        <f>IFERROR(__xludf.DUMMYFUNCTION("""COMPUTED_VALUE"""),"Tartu linn")</f>
        <v>Tartu linn</v>
      </c>
      <c r="C77" s="73" t="str">
        <f>IFERROR(__xludf.DUMMYFUNCTION("""COMPUTED_VALUE"""),"Kirik")</f>
        <v>Kirik</v>
      </c>
      <c r="D77" s="72" t="str">
        <f>IFERROR(__xludf.DUMMYFUNCTION("""COMPUTED_VALUE"""),"www.salem.ee")</f>
        <v>www.salem.ee</v>
      </c>
      <c r="E77" s="73" t="str">
        <f>IFERROR(__xludf.DUMMYFUNCTION("""COMPUTED_VALUE"""),"734 3664")</f>
        <v>734 3664</v>
      </c>
      <c r="F77" s="71" t="str">
        <f>IFERROR(__xludf.DUMMYFUNCTION("""COMPUTED_VALUE"""),"salem@salem.ee")</f>
        <v>salem@salem.ee</v>
      </c>
      <c r="G77" s="73" t="str">
        <f>IFERROR(__xludf.DUMMYFUNCTION("""COMPUTED_VALUE"""),"Aino Meitern")</f>
        <v>Aino Meitern</v>
      </c>
      <c r="H77" s="73" t="str">
        <f>IFERROR(__xludf.DUMMYFUNCTION("""COMPUTED_VALUE"""),"Kalevi 76, 50104")</f>
        <v>Kalevi 76, 50104</v>
      </c>
      <c r="I77" s="68" t="str">
        <f>IFERROR(__xludf.DUMMYFUNCTION("""COMPUTED_VALUE"""),"500+")</f>
        <v>500+</v>
      </c>
      <c r="J77" s="68" t="str">
        <f>IFERROR(__xludf.DUMMYFUNCTION("""COMPUTED_VALUE"""),"Jah")</f>
        <v>Jah</v>
      </c>
      <c r="K77" s="68" t="str">
        <f>IFERROR(__xludf.DUMMYFUNCTION("""COMPUTED_VALUE"""),"Esimene")</f>
        <v>Esimene</v>
      </c>
      <c r="L77" s="68">
        <f>IFERROR(__xludf.DUMMYFUNCTION("""COMPUTED_VALUE"""),400.0)</f>
        <v>400</v>
      </c>
      <c r="M77" s="68"/>
      <c r="N77" s="68"/>
      <c r="O77" s="68" t="str">
        <f>IFERROR(__xludf.DUMMYFUNCTION("""COMPUTED_VALUE"""),"Olemas")</f>
        <v>Olemas</v>
      </c>
      <c r="P77" s="68" t="str">
        <f>IFERROR(__xludf.DUMMYFUNCTION("""COMPUTED_VALUE"""),"Puuduvad")</f>
        <v>Puuduvad</v>
      </c>
      <c r="Q77" s="68" t="str">
        <f>IFERROR(__xludf.DUMMYFUNCTION("""COMPUTED_VALUE"""),"Olemas")</f>
        <v>Olemas</v>
      </c>
      <c r="R77" s="68"/>
      <c r="S77" s="68" t="str">
        <f>IFERROR(__xludf.DUMMYFUNCTION("""COMPUTED_VALUE"""),"Ei")</f>
        <v>Ei</v>
      </c>
      <c r="T77" s="68" t="str">
        <f>IFERROR(__xludf.DUMMYFUNCTION("""COMPUTED_VALUE"""),"Ei")</f>
        <v>Ei</v>
      </c>
      <c r="U77" s="68"/>
      <c r="V77" s="68" t="str">
        <f>IFERROR(__xludf.DUMMYFUNCTION("""COMPUTED_VALUE"""),"Jah")</f>
        <v>Jah</v>
      </c>
      <c r="W77" s="68" t="str">
        <f>IFERROR(__xludf.DUMMYFUNCTION("""COMPUTED_VALUE"""),"Jah")</f>
        <v>Jah</v>
      </c>
      <c r="X77" s="68" t="str">
        <f>IFERROR(__xludf.DUMMYFUNCTION("""COMPUTED_VALUE"""),"Jah")</f>
        <v>Jah</v>
      </c>
      <c r="Y77" s="68" t="str">
        <f>IFERROR(__xludf.DUMMYFUNCTION("""COMPUTED_VALUE"""),"Tänaval")</f>
        <v>Tänaval</v>
      </c>
      <c r="Z77" s="68" t="str">
        <f>IFERROR(__xludf.DUMMYFUNCTION("""COMPUTED_VALUE"""),"Puudub")</f>
        <v>Puudub</v>
      </c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</row>
    <row r="78">
      <c r="A78" s="70" t="str">
        <f>IFERROR(__xludf.DUMMYFUNCTION("""COMPUTED_VALUE"""),"Tartu Kirjanduse maja")</f>
        <v>Tartu Kirjanduse maja</v>
      </c>
      <c r="B78" s="71" t="str">
        <f>IFERROR(__xludf.DUMMYFUNCTION("""COMPUTED_VALUE"""),"Tartu linn")</f>
        <v>Tartu linn</v>
      </c>
      <c r="C78" s="73" t="str">
        <f>IFERROR(__xludf.DUMMYFUNCTION("""COMPUTED_VALUE"""),"Sündmuskeskus")</f>
        <v>Sündmuskeskus</v>
      </c>
      <c r="D78" s="74" t="str">
        <f>IFERROR(__xludf.DUMMYFUNCTION("""COMPUTED_VALUE"""),"www.ekl.ee/tartu")</f>
        <v>www.ekl.ee/tartu</v>
      </c>
      <c r="E78" s="73" t="str">
        <f>IFERROR(__xludf.DUMMYFUNCTION("""COMPUTED_VALUE"""),"734 1073")</f>
        <v>734 1073</v>
      </c>
      <c r="F78" s="71" t="str">
        <f>IFERROR(__xludf.DUMMYFUNCTION("""COMPUTED_VALUE"""),"berkvaher@gmail.com")</f>
        <v>berkvaher@gmail.com</v>
      </c>
      <c r="G78" s="73" t="str">
        <f>IFERROR(__xludf.DUMMYFUNCTION("""COMPUTED_VALUE"""),"Berk Vaher")</f>
        <v>Berk Vaher</v>
      </c>
      <c r="H78" s="73" t="str">
        <f>IFERROR(__xludf.DUMMYFUNCTION("""COMPUTED_VALUE"""),"Vanemuise 19, 51014")</f>
        <v>Vanemuise 19, 51014</v>
      </c>
      <c r="I78" s="68" t="str">
        <f>IFERROR(__xludf.DUMMYFUNCTION("""COMPUTED_VALUE"""),"500+")</f>
        <v>500+</v>
      </c>
      <c r="J78" s="68" t="str">
        <f>IFERROR(__xludf.DUMMYFUNCTION("""COMPUTED_VALUE"""),"Jah")</f>
        <v>Jah</v>
      </c>
      <c r="K78" s="68" t="str">
        <f>IFERROR(__xludf.DUMMYFUNCTION("""COMPUTED_VALUE"""),"Esimene")</f>
        <v>Esimene</v>
      </c>
      <c r="L78" s="68">
        <f>IFERROR(__xludf.DUMMYFUNCTION("""COMPUTED_VALUE"""),60.0)</f>
        <v>60</v>
      </c>
      <c r="M78" s="68"/>
      <c r="N78" s="68">
        <f>IFERROR(__xludf.DUMMYFUNCTION("""COMPUTED_VALUE"""),40.0)</f>
        <v>40</v>
      </c>
      <c r="O78" s="68" t="str">
        <f>IFERROR(__xludf.DUMMYFUNCTION("""COMPUTED_VALUE"""),"Olemas")</f>
        <v>Olemas</v>
      </c>
      <c r="P78" s="68" t="str">
        <f>IFERROR(__xludf.DUMMYFUNCTION("""COMPUTED_VALUE"""),"Puuduvad")</f>
        <v>Puuduvad</v>
      </c>
      <c r="Q78" s="68" t="str">
        <f>IFERROR(__xludf.DUMMYFUNCTION("""COMPUTED_VALUE"""),"Olemas")</f>
        <v>Olemas</v>
      </c>
      <c r="R78" s="68"/>
      <c r="S78" s="68" t="str">
        <f>IFERROR(__xludf.DUMMYFUNCTION("""COMPUTED_VALUE"""),"Ei")</f>
        <v>Ei</v>
      </c>
      <c r="T78" s="68" t="str">
        <f>IFERROR(__xludf.DUMMYFUNCTION("""COMPUTED_VALUE"""),"Seintele riputamisvõimalus")</f>
        <v>Seintele riputamisvõimalus</v>
      </c>
      <c r="U78" s="68"/>
      <c r="V78" s="68" t="str">
        <f>IFERROR(__xludf.DUMMYFUNCTION("""COMPUTED_VALUE"""),"Ei")</f>
        <v>Ei</v>
      </c>
      <c r="W78" s="68" t="str">
        <f>IFERROR(__xludf.DUMMYFUNCTION("""COMPUTED_VALUE"""),"Jah")</f>
        <v>Jah</v>
      </c>
      <c r="X78" s="68" t="str">
        <f>IFERROR(__xludf.DUMMYFUNCTION("""COMPUTED_VALUE"""),"Jah")</f>
        <v>Jah</v>
      </c>
      <c r="Y78" s="68" t="str">
        <f>IFERROR(__xludf.DUMMYFUNCTION("""COMPUTED_VALUE"""),"Tänaval/parklas")</f>
        <v>Tänaval/parklas</v>
      </c>
      <c r="Z78" s="68" t="str">
        <f>IFERROR(__xludf.DUMMYFUNCTION("""COMPUTED_VALUE"""),"Sisehoov koos aiaga")</f>
        <v>Sisehoov koos aiaga</v>
      </c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</row>
    <row r="79">
      <c r="A79" s="70" t="str">
        <f>IFERROR(__xludf.DUMMYFUNCTION("""COMPUTED_VALUE"""),"Tartu Näitused")</f>
        <v>Tartu Näitused</v>
      </c>
      <c r="B79" s="71" t="str">
        <f>IFERROR(__xludf.DUMMYFUNCTION("""COMPUTED_VALUE"""),"Tartu linn")</f>
        <v>Tartu linn</v>
      </c>
      <c r="C79" s="73" t="str">
        <f>IFERROR(__xludf.DUMMYFUNCTION("""COMPUTED_VALUE"""),"Sündmuskeskus")</f>
        <v>Sündmuskeskus</v>
      </c>
      <c r="D79" s="72" t="str">
        <f>IFERROR(__xludf.DUMMYFUNCTION("""COMPUTED_VALUE"""),"www.tartunaitused.ee")</f>
        <v>www.tartunaitused.ee</v>
      </c>
      <c r="E79" s="73" t="str">
        <f>IFERROR(__xludf.DUMMYFUNCTION("""COMPUTED_VALUE"""),"742 1793")</f>
        <v>742 1793</v>
      </c>
      <c r="F79" s="73" t="str">
        <f>IFERROR(__xludf.DUMMYFUNCTION("""COMPUTED_VALUE"""),"info@tartunaitused.ee")</f>
        <v>info@tartunaitused.ee</v>
      </c>
      <c r="G79" s="73" t="str">
        <f>IFERROR(__xludf.DUMMYFUNCTION("""COMPUTED_VALUE"""),"Annika Pettai")</f>
        <v>Annika Pettai</v>
      </c>
      <c r="H79" s="73" t="str">
        <f>IFERROR(__xludf.DUMMYFUNCTION("""COMPUTED_VALUE"""),"F. R. Kreutzwaldi 60, 51006")</f>
        <v>F. R. Kreutzwaldi 60, 51006</v>
      </c>
      <c r="I79" s="68" t="str">
        <f>IFERROR(__xludf.DUMMYFUNCTION("""COMPUTED_VALUE"""),"3000+")</f>
        <v>3000+</v>
      </c>
      <c r="J79" s="68" t="str">
        <f>IFERROR(__xludf.DUMMYFUNCTION("""COMPUTED_VALUE"""),"Jah")</f>
        <v>Jah</v>
      </c>
      <c r="K79" s="68" t="str">
        <f>IFERROR(__xludf.DUMMYFUNCTION("""COMPUTED_VALUE"""),"Esimene")</f>
        <v>Esimene</v>
      </c>
      <c r="L79" s="68">
        <f>IFERROR(__xludf.DUMMYFUNCTION("""COMPUTED_VALUE"""),1000.0)</f>
        <v>1000</v>
      </c>
      <c r="M79" s="68"/>
      <c r="N79" s="68">
        <f>IFERROR(__xludf.DUMMYFUNCTION("""COMPUTED_VALUE"""),1000.0)</f>
        <v>1000</v>
      </c>
      <c r="O79" s="68" t="str">
        <f>IFERROR(__xludf.DUMMYFUNCTION("""COMPUTED_VALUE"""),"Olemas")</f>
        <v>Olemas</v>
      </c>
      <c r="P79" s="68" t="str">
        <f>IFERROR(__xludf.DUMMYFUNCTION("""COMPUTED_VALUE"""),"Olemas")</f>
        <v>Olemas</v>
      </c>
      <c r="Q79" s="68" t="str">
        <f>IFERROR(__xludf.DUMMYFUNCTION("""COMPUTED_VALUE"""),"Olemas")</f>
        <v>Olemas</v>
      </c>
      <c r="R79" s="68"/>
      <c r="S79" s="68" t="str">
        <f>IFERROR(__xludf.DUMMYFUNCTION("""COMPUTED_VALUE"""),"Jah")</f>
        <v>Jah</v>
      </c>
      <c r="T79" s="68" t="str">
        <f>IFERROR(__xludf.DUMMYFUNCTION("""COMPUTED_VALUE"""),"Seintele riputamisvõimalus")</f>
        <v>Seintele riputamisvõimalus</v>
      </c>
      <c r="U79" s="68"/>
      <c r="V79" s="68" t="str">
        <f>IFERROR(__xludf.DUMMYFUNCTION("""COMPUTED_VALUE"""),"Jah")</f>
        <v>Jah</v>
      </c>
      <c r="W79" s="68" t="str">
        <f>IFERROR(__xludf.DUMMYFUNCTION("""COMPUTED_VALUE"""),"Jah")</f>
        <v>Jah</v>
      </c>
      <c r="X79" s="68" t="str">
        <f>IFERROR(__xludf.DUMMYFUNCTION("""COMPUTED_VALUE"""),"Jah")</f>
        <v>Jah</v>
      </c>
      <c r="Y79" s="68" t="str">
        <f>IFERROR(__xludf.DUMMYFUNCTION("""COMPUTED_VALUE"""),"Parklas")</f>
        <v>Parklas</v>
      </c>
      <c r="Z79" s="68" t="str">
        <f>IFERROR(__xludf.DUMMYFUNCTION("""COMPUTED_VALUE"""),"Väga suur väliala, mahutab 45 000+ inimest")</f>
        <v>Väga suur väliala, mahutab 45 000+ inimest</v>
      </c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</row>
    <row r="80">
      <c r="A80" s="70" t="str">
        <f>IFERROR(__xludf.DUMMYFUNCTION("""COMPUTED_VALUE"""),"A Le Coq Sport spordihoone")</f>
        <v>A Le Coq Sport spordihoone</v>
      </c>
      <c r="B80" s="71" t="str">
        <f>IFERROR(__xludf.DUMMYFUNCTION("""COMPUTED_VALUE"""),"Tartu linn")</f>
        <v>Tartu linn</v>
      </c>
      <c r="C80" s="73" t="str">
        <f>IFERROR(__xludf.DUMMYFUNCTION("""COMPUTED_VALUE"""),"Spordikeskus")</f>
        <v>Spordikeskus</v>
      </c>
      <c r="D80" s="72" t="str">
        <f>IFERROR(__xludf.DUMMYFUNCTION("""COMPUTED_VALUE"""),"https://tartusport.ee/hooned/spordihooned/a-le-coq-sport-spordimaja")</f>
        <v>https://tartusport.ee/hooned/spordihooned/a-le-coq-sport-spordimaja</v>
      </c>
      <c r="E80" s="73" t="str">
        <f>IFERROR(__xludf.DUMMYFUNCTION("""COMPUTED_VALUE"""),"744 8400")</f>
        <v>744 8400</v>
      </c>
      <c r="F80" s="71" t="str">
        <f>IFERROR(__xludf.DUMMYFUNCTION("""COMPUTED_VALUE"""),"alecoq@tartusport.ee")</f>
        <v>alecoq@tartusport.ee</v>
      </c>
      <c r="G80" s="73" t="str">
        <f>IFERROR(__xludf.DUMMYFUNCTION("""COMPUTED_VALUE"""),"Anneli Männamets")</f>
        <v>Anneli Männamets</v>
      </c>
      <c r="H80" s="73" t="str">
        <f>IFERROR(__xludf.DUMMYFUNCTION("""COMPUTED_VALUE"""),"Ihaste tee 5, 51011")</f>
        <v>Ihaste tee 5, 51011</v>
      </c>
      <c r="I80" s="68" t="str">
        <f>IFERROR(__xludf.DUMMYFUNCTION("""COMPUTED_VALUE"""),"2000+")</f>
        <v>2000+</v>
      </c>
      <c r="J80" s="68" t="str">
        <f>IFERROR(__xludf.DUMMYFUNCTION("""COMPUTED_VALUE"""),"Jah")</f>
        <v>Jah</v>
      </c>
      <c r="K80" s="68" t="str">
        <f>IFERROR(__xludf.DUMMYFUNCTION("""COMPUTED_VALUE"""),"Esimene")</f>
        <v>Esimene</v>
      </c>
      <c r="L80" s="68">
        <f>IFERROR(__xludf.DUMMYFUNCTION("""COMPUTED_VALUE"""),1736.0)</f>
        <v>1736</v>
      </c>
      <c r="M80" s="68"/>
      <c r="N80" s="68">
        <f>IFERROR(__xludf.DUMMYFUNCTION("""COMPUTED_VALUE"""),100.0)</f>
        <v>100</v>
      </c>
      <c r="O80" s="68" t="str">
        <f>IFERROR(__xludf.DUMMYFUNCTION("""COMPUTED_VALUE"""),"Olemas")</f>
        <v>Olemas</v>
      </c>
      <c r="P80" s="68" t="str">
        <f>IFERROR(__xludf.DUMMYFUNCTION("""COMPUTED_VALUE"""),"Puuduvad")</f>
        <v>Puuduvad</v>
      </c>
      <c r="Q80" s="68" t="str">
        <f>IFERROR(__xludf.DUMMYFUNCTION("""COMPUTED_VALUE"""),"Olemas")</f>
        <v>Olemas</v>
      </c>
      <c r="R80" s="68"/>
      <c r="S80" s="68" t="str">
        <f>IFERROR(__xludf.DUMMYFUNCTION("""COMPUTED_VALUE"""),"Ei")</f>
        <v>Ei</v>
      </c>
      <c r="T80" s="68" t="str">
        <f>IFERROR(__xludf.DUMMYFUNCTION("""COMPUTED_VALUE"""),"Seintele riputamisvõimalus")</f>
        <v>Seintele riputamisvõimalus</v>
      </c>
      <c r="U80" s="68"/>
      <c r="V80" s="68" t="str">
        <f>IFERROR(__xludf.DUMMYFUNCTION("""COMPUTED_VALUE"""),"Jah")</f>
        <v>Jah</v>
      </c>
      <c r="W80" s="68" t="str">
        <f>IFERROR(__xludf.DUMMYFUNCTION("""COMPUTED_VALUE"""),"Jah")</f>
        <v>Jah</v>
      </c>
      <c r="X80" s="68" t="str">
        <f>IFERROR(__xludf.DUMMYFUNCTION("""COMPUTED_VALUE"""),"Jah")</f>
        <v>Jah</v>
      </c>
      <c r="Y80" s="68" t="str">
        <f>IFERROR(__xludf.DUMMYFUNCTION("""COMPUTED_VALUE"""),"Parklas")</f>
        <v>Parklas</v>
      </c>
      <c r="Z80" s="68" t="str">
        <f>IFERROR(__xludf.DUMMYFUNCTION("""COMPUTED_VALUE"""),"Parkla")</f>
        <v>Parkla</v>
      </c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</row>
    <row r="81">
      <c r="A81" s="70" t="str">
        <f>IFERROR(__xludf.DUMMYFUNCTION("""COMPUTED_VALUE"""),"Tartu Ülikooli spordihoone")</f>
        <v>Tartu Ülikooli spordihoone</v>
      </c>
      <c r="B81" s="71" t="str">
        <f>IFERROR(__xludf.DUMMYFUNCTION("""COMPUTED_VALUE"""),"Tartu linn")</f>
        <v>Tartu linn</v>
      </c>
      <c r="C81" s="73" t="str">
        <f>IFERROR(__xludf.DUMMYFUNCTION("""COMPUTED_VALUE"""),"Spordikeskus")</f>
        <v>Spordikeskus</v>
      </c>
      <c r="D81" s="72" t="str">
        <f>IFERROR(__xludf.DUMMYFUNCTION("""COMPUTED_VALUE"""),"www.sport.ut.ee")</f>
        <v>www.sport.ut.ee</v>
      </c>
      <c r="E81" s="73" t="str">
        <f>IFERROR(__xludf.DUMMYFUNCTION("""COMPUTED_VALUE"""),"737 6281")</f>
        <v>737 6281</v>
      </c>
      <c r="F81" s="71" t="str">
        <f>IFERROR(__xludf.DUMMYFUNCTION("""COMPUTED_VALUE"""),"kessu.kindsigo@ut.ee")</f>
        <v>kessu.kindsigo@ut.ee</v>
      </c>
      <c r="G81" s="73" t="str">
        <f>IFERROR(__xludf.DUMMYFUNCTION("""COMPUTED_VALUE"""),"Kessu Kindsigo")</f>
        <v>Kessu Kindsigo</v>
      </c>
      <c r="H81" s="73" t="str">
        <f>IFERROR(__xludf.DUMMYFUNCTION("""COMPUTED_VALUE"""),"Ujula 4, 51008")</f>
        <v>Ujula 4, 51008</v>
      </c>
      <c r="I81" s="68" t="str">
        <f>IFERROR(__xludf.DUMMYFUNCTION("""COMPUTED_VALUE"""),"3000+")</f>
        <v>3000+</v>
      </c>
      <c r="J81" s="68" t="str">
        <f>IFERROR(__xludf.DUMMYFUNCTION("""COMPUTED_VALUE"""),"Jah")</f>
        <v>Jah</v>
      </c>
      <c r="K81" s="68" t="str">
        <f>IFERROR(__xludf.DUMMYFUNCTION("""COMPUTED_VALUE"""),"Esimene")</f>
        <v>Esimene</v>
      </c>
      <c r="L81" s="68">
        <f>IFERROR(__xludf.DUMMYFUNCTION("""COMPUTED_VALUE"""),2500.0)</f>
        <v>2500</v>
      </c>
      <c r="M81" s="68"/>
      <c r="N81" s="68">
        <f>IFERROR(__xludf.DUMMYFUNCTION("""COMPUTED_VALUE"""),100.0)</f>
        <v>100</v>
      </c>
      <c r="O81" s="68" t="str">
        <f>IFERROR(__xludf.DUMMYFUNCTION("""COMPUTED_VALUE"""),"Olemas")</f>
        <v>Olemas</v>
      </c>
      <c r="P81" s="68" t="str">
        <f>IFERROR(__xludf.DUMMYFUNCTION("""COMPUTED_VALUE"""),"Olemas")</f>
        <v>Olemas</v>
      </c>
      <c r="Q81" s="68" t="str">
        <f>IFERROR(__xludf.DUMMYFUNCTION("""COMPUTED_VALUE"""),"Olemas")</f>
        <v>Olemas</v>
      </c>
      <c r="R81" s="68"/>
      <c r="S81" s="68" t="str">
        <f>IFERROR(__xludf.DUMMYFUNCTION("""COMPUTED_VALUE"""),"Ei")</f>
        <v>Ei</v>
      </c>
      <c r="T81" s="68" t="str">
        <f>IFERROR(__xludf.DUMMYFUNCTION("""COMPUTED_VALUE"""),"Seintele riputamisvõimalus")</f>
        <v>Seintele riputamisvõimalus</v>
      </c>
      <c r="U81" s="68"/>
      <c r="V81" s="68" t="str">
        <f>IFERROR(__xludf.DUMMYFUNCTION("""COMPUTED_VALUE"""),"Jah")</f>
        <v>Jah</v>
      </c>
      <c r="W81" s="68" t="str">
        <f>IFERROR(__xludf.DUMMYFUNCTION("""COMPUTED_VALUE"""),"Jah")</f>
        <v>Jah</v>
      </c>
      <c r="X81" s="68" t="str">
        <f>IFERROR(__xludf.DUMMYFUNCTION("""COMPUTED_VALUE"""),"Jah")</f>
        <v>Jah</v>
      </c>
      <c r="Y81" s="68" t="str">
        <f>IFERROR(__xludf.DUMMYFUNCTION("""COMPUTED_VALUE"""),"Parklas")</f>
        <v>Parklas</v>
      </c>
      <c r="Z81" s="68" t="str">
        <f>IFERROR(__xludf.DUMMYFUNCTION("""COMPUTED_VALUE"""),"Parkla")</f>
        <v>Parkla</v>
      </c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</row>
    <row r="82">
      <c r="A82" s="70" t="str">
        <f>IFERROR(__xludf.DUMMYFUNCTION("""COMPUTED_VALUE"""),"Tartu Tamme staadion")</f>
        <v>Tartu Tamme staadion</v>
      </c>
      <c r="B82" s="71" t="str">
        <f>IFERROR(__xludf.DUMMYFUNCTION("""COMPUTED_VALUE"""),"Tartu linn")</f>
        <v>Tartu linn</v>
      </c>
      <c r="C82" s="73" t="str">
        <f>IFERROR(__xludf.DUMMYFUNCTION("""COMPUTED_VALUE"""),"Staadion")</f>
        <v>Staadion</v>
      </c>
      <c r="D82" s="72" t="str">
        <f>IFERROR(__xludf.DUMMYFUNCTION("""COMPUTED_VALUE"""),"www.tartusport.ee/hooned/staadionid/tamme-staadioni-kompleks/")</f>
        <v>www.tartusport.ee/hooned/staadionid/tamme-staadioni-kompleks/</v>
      </c>
      <c r="E82" s="73" t="str">
        <f>IFERROR(__xludf.DUMMYFUNCTION("""COMPUTED_VALUE"""),"744 8408")</f>
        <v>744 8408</v>
      </c>
      <c r="F82" s="71" t="str">
        <f>IFERROR(__xludf.DUMMYFUNCTION("""COMPUTED_VALUE"""),"tammestaadion@tartusport.ee")</f>
        <v>tammestaadion@tartusport.ee</v>
      </c>
      <c r="G82" s="73" t="str">
        <f>IFERROR(__xludf.DUMMYFUNCTION("""COMPUTED_VALUE"""),"Signe Renter")</f>
        <v>Signe Renter</v>
      </c>
      <c r="H82" s="71" t="str">
        <f>IFERROR(__xludf.DUMMYFUNCTION("""COMPUTED_VALUE"""),"Tamme pst 1, 50403")</f>
        <v>Tamme pst 1, 50403</v>
      </c>
      <c r="I82" s="68" t="str">
        <f>IFERROR(__xludf.DUMMYFUNCTION("""COMPUTED_VALUE"""),"2000+")</f>
        <v>2000+</v>
      </c>
      <c r="J82" s="68" t="str">
        <f>IFERROR(__xludf.DUMMYFUNCTION("""COMPUTED_VALUE"""),"Jah")</f>
        <v>Jah</v>
      </c>
      <c r="K82" s="68" t="str">
        <f>IFERROR(__xludf.DUMMYFUNCTION("""COMPUTED_VALUE"""),"Teine")</f>
        <v>Teine</v>
      </c>
      <c r="L82" s="68">
        <f>IFERROR(__xludf.DUMMYFUNCTION("""COMPUTED_VALUE"""),80.0)</f>
        <v>80</v>
      </c>
      <c r="M82" s="68"/>
      <c r="N82" s="68"/>
      <c r="O82" s="68" t="str">
        <f>IFERROR(__xludf.DUMMYFUNCTION("""COMPUTED_VALUE"""),"Olemas")</f>
        <v>Olemas</v>
      </c>
      <c r="P82" s="68" t="str">
        <f>IFERROR(__xludf.DUMMYFUNCTION("""COMPUTED_VALUE"""),"Puuduvad")</f>
        <v>Puuduvad</v>
      </c>
      <c r="Q82" s="68" t="str">
        <f>IFERROR(__xludf.DUMMYFUNCTION("""COMPUTED_VALUE"""),"Olemas")</f>
        <v>Olemas</v>
      </c>
      <c r="R82" s="68"/>
      <c r="S82" s="68" t="str">
        <f>IFERROR(__xludf.DUMMYFUNCTION("""COMPUTED_VALUE"""),"Ei")</f>
        <v>Ei</v>
      </c>
      <c r="T82" s="68" t="str">
        <f>IFERROR(__xludf.DUMMYFUNCTION("""COMPUTED_VALUE"""),"Seintele riputamisvõimalus")</f>
        <v>Seintele riputamisvõimalus</v>
      </c>
      <c r="U82" s="68"/>
      <c r="V82" s="68" t="str">
        <f>IFERROR(__xludf.DUMMYFUNCTION("""COMPUTED_VALUE"""),"Jah")</f>
        <v>Jah</v>
      </c>
      <c r="W82" s="68" t="str">
        <f>IFERROR(__xludf.DUMMYFUNCTION("""COMPUTED_VALUE"""),"Jah")</f>
        <v>Jah</v>
      </c>
      <c r="X82" s="68" t="str">
        <f>IFERROR(__xludf.DUMMYFUNCTION("""COMPUTED_VALUE"""),"Jah")</f>
        <v>Jah</v>
      </c>
      <c r="Y82" s="68" t="str">
        <f>IFERROR(__xludf.DUMMYFUNCTION("""COMPUTED_VALUE"""),"Tänaval/parklas")</f>
        <v>Tänaval/parklas</v>
      </c>
      <c r="Z82" s="68" t="str">
        <f>IFERROR(__xludf.DUMMYFUNCTION("""COMPUTED_VALUE"""),"Staadionil tribüün 1638 istekohaga.")</f>
        <v>Staadionil tribüün 1638 istekohaga.</v>
      </c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</row>
    <row r="83">
      <c r="A83" s="70" t="str">
        <f>IFERROR(__xludf.DUMMYFUNCTION("""COMPUTED_VALUE"""),"Tartu Ülikooli staadion")</f>
        <v>Tartu Ülikooli staadion</v>
      </c>
      <c r="B83" s="71" t="str">
        <f>IFERROR(__xludf.DUMMYFUNCTION("""COMPUTED_VALUE"""),"Tartu linn")</f>
        <v>Tartu linn</v>
      </c>
      <c r="C83" s="73" t="str">
        <f>IFERROR(__xludf.DUMMYFUNCTION("""COMPUTED_VALUE"""),"Staadion")</f>
        <v>Staadion</v>
      </c>
      <c r="D83" s="72" t="str">
        <f>IFERROR(__xludf.DUMMYFUNCTION("""COMPUTED_VALUE"""),"https://sport.ut.ee/locations/tartu-ulikooli-staadion/")</f>
        <v>https://sport.ut.ee/locations/tartu-ulikooli-staadion/</v>
      </c>
      <c r="E83" s="73" t="str">
        <f>IFERROR(__xludf.DUMMYFUNCTION("""COMPUTED_VALUE"""),"733 3846")</f>
        <v>733 3846</v>
      </c>
      <c r="F83" s="71" t="str">
        <f>IFERROR(__xludf.DUMMYFUNCTION("""COMPUTED_VALUE"""),"kessu.kindsigo@ut.ee")</f>
        <v>kessu.kindsigo@ut.ee</v>
      </c>
      <c r="G83" s="73" t="str">
        <f>IFERROR(__xludf.DUMMYFUNCTION("""COMPUTED_VALUE"""),"Kessu Kindsigo")</f>
        <v>Kessu Kindsigo</v>
      </c>
      <c r="H83" s="73" t="str">
        <f>IFERROR(__xludf.DUMMYFUNCTION("""COMPUTED_VALUE"""),"Staadioni 21, 51008")</f>
        <v>Staadioni 21, 51008</v>
      </c>
      <c r="I83" s="68" t="str">
        <f>IFERROR(__xludf.DUMMYFUNCTION("""COMPUTED_VALUE"""),"1700+")</f>
        <v>1700+</v>
      </c>
      <c r="J83" s="68" t="str">
        <f>IFERROR(__xludf.DUMMYFUNCTION("""COMPUTED_VALUE"""),"Ei")</f>
        <v>Ei</v>
      </c>
      <c r="K83" s="68"/>
      <c r="L83" s="68"/>
      <c r="M83" s="68"/>
      <c r="N83" s="68"/>
      <c r="O83" s="68" t="str">
        <f>IFERROR(__xludf.DUMMYFUNCTION("""COMPUTED_VALUE"""),"Olemas")</f>
        <v>Olemas</v>
      </c>
      <c r="P83" s="68" t="str">
        <f>IFERROR(__xludf.DUMMYFUNCTION("""COMPUTED_VALUE"""),"Puuduvad")</f>
        <v>Puuduvad</v>
      </c>
      <c r="Q83" s="68" t="str">
        <f>IFERROR(__xludf.DUMMYFUNCTION("""COMPUTED_VALUE"""),"Puuduvad")</f>
        <v>Puuduvad</v>
      </c>
      <c r="R83" s="68"/>
      <c r="S83" s="68" t="str">
        <f>IFERROR(__xludf.DUMMYFUNCTION("""COMPUTED_VALUE"""),"Ei")</f>
        <v>Ei</v>
      </c>
      <c r="T83" s="68" t="str">
        <f>IFERROR(__xludf.DUMMYFUNCTION("""COMPUTED_VALUE"""),"Ei")</f>
        <v>Ei</v>
      </c>
      <c r="U83" s="68"/>
      <c r="V83" s="68" t="str">
        <f>IFERROR(__xludf.DUMMYFUNCTION("""COMPUTED_VALUE"""),"Jah")</f>
        <v>Jah</v>
      </c>
      <c r="W83" s="68" t="str">
        <f>IFERROR(__xludf.DUMMYFUNCTION("""COMPUTED_VALUE"""),"Jah")</f>
        <v>Jah</v>
      </c>
      <c r="X83" s="68" t="str">
        <f>IFERROR(__xludf.DUMMYFUNCTION("""COMPUTED_VALUE"""),"Jah")</f>
        <v>Jah</v>
      </c>
      <c r="Y83" s="68" t="str">
        <f>IFERROR(__xludf.DUMMYFUNCTION("""COMPUTED_VALUE"""),"Tänaval")</f>
        <v>Tänaval</v>
      </c>
      <c r="Z83" s="68" t="str">
        <f>IFERROR(__xludf.DUMMYFUNCTION("""COMPUTED_VALUE"""),"Staadionil 200 statsionaarset istekohta + 1500 lisatribüüniga.")</f>
        <v>Staadionil 200 statsionaarset istekohta + 1500 lisatribüüniga.</v>
      </c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</row>
    <row r="84">
      <c r="A84" s="70" t="str">
        <f>IFERROR(__xludf.DUMMYFUNCTION("""COMPUTED_VALUE"""),"Tartu Noorsootöö Keskuse Anne Noortekeskus")</f>
        <v>Tartu Noorsootöö Keskuse Anne Noortekeskus</v>
      </c>
      <c r="B84" s="71" t="str">
        <f>IFERROR(__xludf.DUMMYFUNCTION("""COMPUTED_VALUE"""),"Tartu linn")</f>
        <v>Tartu linn</v>
      </c>
      <c r="C84" s="73" t="str">
        <f>IFERROR(__xludf.DUMMYFUNCTION("""COMPUTED_VALUE"""),"Noortekeskus")</f>
        <v>Noortekeskus</v>
      </c>
      <c r="D84" s="74" t="str">
        <f>IFERROR(__xludf.DUMMYFUNCTION("""COMPUTED_VALUE"""),"https://tntk.tartu.ee/anne-noortekeskus")</f>
        <v>https://tntk.tartu.ee/anne-noortekeskus</v>
      </c>
      <c r="E84" s="73" t="str">
        <f>IFERROR(__xludf.DUMMYFUNCTION("""COMPUTED_VALUE"""),"524 6146")</f>
        <v>524 6146</v>
      </c>
      <c r="F84" s="73" t="str">
        <f>IFERROR(__xludf.DUMMYFUNCTION("""COMPUTED_VALUE"""),"heilika.peterson@raad.tartu.ee")</f>
        <v>heilika.peterson@raad.tartu.ee</v>
      </c>
      <c r="G84" s="73" t="str">
        <f>IFERROR(__xludf.DUMMYFUNCTION("""COMPUTED_VALUE"""),"Heilika Peterson")</f>
        <v>Heilika Peterson</v>
      </c>
      <c r="H84" s="73" t="str">
        <f>IFERROR(__xludf.DUMMYFUNCTION("""COMPUTED_VALUE"""),"Uus 56, 50606")</f>
        <v>Uus 56, 50606</v>
      </c>
      <c r="I84" s="68" t="str">
        <f>IFERROR(__xludf.DUMMYFUNCTION("""COMPUTED_VALUE"""),"150+")</f>
        <v>150+</v>
      </c>
      <c r="J84" s="68" t="str">
        <f>IFERROR(__xludf.DUMMYFUNCTION("""COMPUTED_VALUE"""),"Jah")</f>
        <v>Jah</v>
      </c>
      <c r="K84" s="68" t="str">
        <f>IFERROR(__xludf.DUMMYFUNCTION("""COMPUTED_VALUE"""),"Esimene")</f>
        <v>Esimene</v>
      </c>
      <c r="L84" s="68">
        <f>IFERROR(__xludf.DUMMYFUNCTION("""COMPUTED_VALUE"""),50.0)</f>
        <v>50</v>
      </c>
      <c r="M84" s="68"/>
      <c r="N84" s="68">
        <f>IFERROR(__xludf.DUMMYFUNCTION("""COMPUTED_VALUE"""),40.0)</f>
        <v>40</v>
      </c>
      <c r="O84" s="68" t="str">
        <f>IFERROR(__xludf.DUMMYFUNCTION("""COMPUTED_VALUE"""),"Olemas")</f>
        <v>Olemas</v>
      </c>
      <c r="P84" s="68" t="str">
        <f>IFERROR(__xludf.DUMMYFUNCTION("""COMPUTED_VALUE"""),"Puuduvad")</f>
        <v>Puuduvad</v>
      </c>
      <c r="Q84" s="68" t="str">
        <f>IFERROR(__xludf.DUMMYFUNCTION("""COMPUTED_VALUE"""),"Olemas")</f>
        <v>Olemas</v>
      </c>
      <c r="R84" s="68"/>
      <c r="S84" s="68" t="str">
        <f>IFERROR(__xludf.DUMMYFUNCTION("""COMPUTED_VALUE"""),"Ei")</f>
        <v>Ei</v>
      </c>
      <c r="T84" s="68" t="str">
        <f>IFERROR(__xludf.DUMMYFUNCTION("""COMPUTED_VALUE"""),"Seintele riputamisvõimalus")</f>
        <v>Seintele riputamisvõimalus</v>
      </c>
      <c r="U84" s="68"/>
      <c r="V84" s="68" t="str">
        <f>IFERROR(__xludf.DUMMYFUNCTION("""COMPUTED_VALUE"""),"Jah")</f>
        <v>Jah</v>
      </c>
      <c r="W84" s="68" t="str">
        <f>IFERROR(__xludf.DUMMYFUNCTION("""COMPUTED_VALUE"""),"Jah")</f>
        <v>Jah</v>
      </c>
      <c r="X84" s="68" t="str">
        <f>IFERROR(__xludf.DUMMYFUNCTION("""COMPUTED_VALUE"""),"Jah")</f>
        <v>Jah</v>
      </c>
      <c r="Y84" s="68" t="str">
        <f>IFERROR(__xludf.DUMMYFUNCTION("""COMPUTED_VALUE"""),"Tänaval/parklas")</f>
        <v>Tänaval/parklas</v>
      </c>
      <c r="Z84" s="68" t="str">
        <f>IFERROR(__xludf.DUMMYFUNCTION("""COMPUTED_VALUE"""),"Aed")</f>
        <v>Aed</v>
      </c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</row>
    <row r="85">
      <c r="A85" s="70" t="str">
        <f>IFERROR(__xludf.DUMMYFUNCTION("""COMPUTED_VALUE"""),"Tartu Noorsootöö Keskuse Lille Noortekeskus")</f>
        <v>Tartu Noorsootöö Keskuse Lille Noortekeskus</v>
      </c>
      <c r="B85" s="71" t="str">
        <f>IFERROR(__xludf.DUMMYFUNCTION("""COMPUTED_VALUE"""),"Tartu linn")</f>
        <v>Tartu linn</v>
      </c>
      <c r="C85" s="73" t="str">
        <f>IFERROR(__xludf.DUMMYFUNCTION("""COMPUTED_VALUE"""),"Noortekeskus")</f>
        <v>Noortekeskus</v>
      </c>
      <c r="D85" s="72" t="str">
        <f>IFERROR(__xludf.DUMMYFUNCTION("""COMPUTED_VALUE"""),"https://tntk.tartu.ee/lille-noortekeskus")</f>
        <v>https://tntk.tartu.ee/lille-noortekeskus</v>
      </c>
      <c r="E85" s="73" t="str">
        <f>IFERROR(__xludf.DUMMYFUNCTION("""COMPUTED_VALUE"""),"524 6146")</f>
        <v>524 6146</v>
      </c>
      <c r="F85" s="73" t="str">
        <f>IFERROR(__xludf.DUMMYFUNCTION("""COMPUTED_VALUE"""),"heilika.peterson@raad.tartu.ee")</f>
        <v>heilika.peterson@raad.tartu.ee</v>
      </c>
      <c r="G85" s="73" t="str">
        <f>IFERROR(__xludf.DUMMYFUNCTION("""COMPUTED_VALUE"""),"Heilika Peterson")</f>
        <v>Heilika Peterson</v>
      </c>
      <c r="H85" s="73" t="str">
        <f>IFERROR(__xludf.DUMMYFUNCTION("""COMPUTED_VALUE"""),"Lille 9, 50110")</f>
        <v>Lille 9, 50110</v>
      </c>
      <c r="I85" s="68" t="str">
        <f>IFERROR(__xludf.DUMMYFUNCTION("""COMPUTED_VALUE"""),"150+")</f>
        <v>150+</v>
      </c>
      <c r="J85" s="68" t="str">
        <f>IFERROR(__xludf.DUMMYFUNCTION("""COMPUTED_VALUE"""),"Jah")</f>
        <v>Jah</v>
      </c>
      <c r="K85" s="68" t="str">
        <f>IFERROR(__xludf.DUMMYFUNCTION("""COMPUTED_VALUE"""),"Teine")</f>
        <v>Teine</v>
      </c>
      <c r="L85" s="68">
        <f>IFERROR(__xludf.DUMMYFUNCTION("""COMPUTED_VALUE"""),40.0)</f>
        <v>40</v>
      </c>
      <c r="M85" s="68"/>
      <c r="N85" s="68">
        <f>IFERROR(__xludf.DUMMYFUNCTION("""COMPUTED_VALUE"""),40.0)</f>
        <v>40</v>
      </c>
      <c r="O85" s="68" t="str">
        <f>IFERROR(__xludf.DUMMYFUNCTION("""COMPUTED_VALUE"""),"Olemas")</f>
        <v>Olemas</v>
      </c>
      <c r="P85" s="68" t="str">
        <f>IFERROR(__xludf.DUMMYFUNCTION("""COMPUTED_VALUE"""),"Olemas")</f>
        <v>Olemas</v>
      </c>
      <c r="Q85" s="68" t="str">
        <f>IFERROR(__xludf.DUMMYFUNCTION("""COMPUTED_VALUE"""),"Olemas")</f>
        <v>Olemas</v>
      </c>
      <c r="R85" s="68"/>
      <c r="S85" s="68" t="str">
        <f>IFERROR(__xludf.DUMMYFUNCTION("""COMPUTED_VALUE"""),"Ei")</f>
        <v>Ei</v>
      </c>
      <c r="T85" s="68" t="str">
        <f>IFERROR(__xludf.DUMMYFUNCTION("""COMPUTED_VALUE"""),"Seintele riputamisvõimalus")</f>
        <v>Seintele riputamisvõimalus</v>
      </c>
      <c r="U85" s="68"/>
      <c r="V85" s="68" t="str">
        <f>IFERROR(__xludf.DUMMYFUNCTION("""COMPUTED_VALUE"""),"Jah")</f>
        <v>Jah</v>
      </c>
      <c r="W85" s="68" t="str">
        <f>IFERROR(__xludf.DUMMYFUNCTION("""COMPUTED_VALUE"""),"Jah")</f>
        <v>Jah</v>
      </c>
      <c r="X85" s="68" t="str">
        <f>IFERROR(__xludf.DUMMYFUNCTION("""COMPUTED_VALUE"""),"Jah")</f>
        <v>Jah</v>
      </c>
      <c r="Y85" s="68" t="str">
        <f>IFERROR(__xludf.DUMMYFUNCTION("""COMPUTED_VALUE"""),"Tänaval")</f>
        <v>Tänaval</v>
      </c>
      <c r="Z85" s="68" t="str">
        <f>IFERROR(__xludf.DUMMYFUNCTION("""COMPUTED_VALUE"""),"Aed")</f>
        <v>Aed</v>
      </c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</row>
    <row r="86">
      <c r="A86" s="70" t="str">
        <f>IFERROR(__xludf.DUMMYFUNCTION("""COMPUTED_VALUE"""),"Tartu Loodusmaja")</f>
        <v>Tartu Loodusmaja</v>
      </c>
      <c r="B86" s="71" t="str">
        <f>IFERROR(__xludf.DUMMYFUNCTION("""COMPUTED_VALUE"""),"Tartu linn")</f>
        <v>Tartu linn</v>
      </c>
      <c r="C86" s="73" t="str">
        <f>IFERROR(__xludf.DUMMYFUNCTION("""COMPUTED_VALUE"""),"Muuseum")</f>
        <v>Muuseum</v>
      </c>
      <c r="D86" s="72" t="str">
        <f>IFERROR(__xludf.DUMMYFUNCTION("""COMPUTED_VALUE"""),"www.tartuloodusmaja.ee")</f>
        <v>www.tartuloodusmaja.ee</v>
      </c>
      <c r="E86" s="73" t="str">
        <f>IFERROR(__xludf.DUMMYFUNCTION("""COMPUTED_VALUE"""),"736 6120")</f>
        <v>736 6120</v>
      </c>
      <c r="F86" s="73" t="str">
        <f>IFERROR(__xludf.DUMMYFUNCTION("""COMPUTED_VALUE"""),"info@tartuloodusmaja.ee")</f>
        <v>info@tartuloodusmaja.ee</v>
      </c>
      <c r="G86" s="73" t="str">
        <f>IFERROR(__xludf.DUMMYFUNCTION("""COMPUTED_VALUE"""),"Katrin Juhanson")</f>
        <v>Katrin Juhanson</v>
      </c>
      <c r="H86" s="73" t="str">
        <f>IFERROR(__xludf.DUMMYFUNCTION("""COMPUTED_VALUE"""),"Lille 10, 50110")</f>
        <v>Lille 10, 50110</v>
      </c>
      <c r="I86" s="68" t="str">
        <f>IFERROR(__xludf.DUMMYFUNCTION("""COMPUTED_VALUE"""),"200+")</f>
        <v>200+</v>
      </c>
      <c r="J86" s="68" t="str">
        <f>IFERROR(__xludf.DUMMYFUNCTION("""COMPUTED_VALUE"""),"Jah")</f>
        <v>Jah</v>
      </c>
      <c r="K86" s="68" t="str">
        <f>IFERROR(__xludf.DUMMYFUNCTION("""COMPUTED_VALUE"""),"Esimene")</f>
        <v>Esimene</v>
      </c>
      <c r="L86" s="68">
        <f>IFERROR(__xludf.DUMMYFUNCTION("""COMPUTED_VALUE"""),100.0)</f>
        <v>100</v>
      </c>
      <c r="M86" s="68"/>
      <c r="N86" s="68">
        <f>IFERROR(__xludf.DUMMYFUNCTION("""COMPUTED_VALUE"""),40.0)</f>
        <v>40</v>
      </c>
      <c r="O86" s="68" t="str">
        <f>IFERROR(__xludf.DUMMYFUNCTION("""COMPUTED_VALUE"""),"Olemas")</f>
        <v>Olemas</v>
      </c>
      <c r="P86" s="68" t="str">
        <f>IFERROR(__xludf.DUMMYFUNCTION("""COMPUTED_VALUE"""),"Olemas")</f>
        <v>Olemas</v>
      </c>
      <c r="Q86" s="68" t="str">
        <f>IFERROR(__xludf.DUMMYFUNCTION("""COMPUTED_VALUE"""),"Olemas")</f>
        <v>Olemas</v>
      </c>
      <c r="R86" s="68"/>
      <c r="S86" s="68" t="str">
        <f>IFERROR(__xludf.DUMMYFUNCTION("""COMPUTED_VALUE"""),"Jah")</f>
        <v>Jah</v>
      </c>
      <c r="T86" s="68" t="str">
        <f>IFERROR(__xludf.DUMMYFUNCTION("""COMPUTED_VALUE"""),"Seintele riputamisvõimalus")</f>
        <v>Seintele riputamisvõimalus</v>
      </c>
      <c r="U86" s="68"/>
      <c r="V86" s="68" t="str">
        <f>IFERROR(__xludf.DUMMYFUNCTION("""COMPUTED_VALUE"""),"Jah")</f>
        <v>Jah</v>
      </c>
      <c r="W86" s="68" t="str">
        <f>IFERROR(__xludf.DUMMYFUNCTION("""COMPUTED_VALUE"""),"Jah")</f>
        <v>Jah</v>
      </c>
      <c r="X86" s="68" t="str">
        <f>IFERROR(__xludf.DUMMYFUNCTION("""COMPUTED_VALUE"""),"Jah")</f>
        <v>Jah</v>
      </c>
      <c r="Y86" s="68" t="str">
        <f>IFERROR(__xludf.DUMMYFUNCTION("""COMPUTED_VALUE"""),"Tänaval")</f>
        <v>Tänaval</v>
      </c>
      <c r="Z86" s="68" t="str">
        <f>IFERROR(__xludf.DUMMYFUNCTION("""COMPUTED_VALUE"""),"Suur 10 000m2 park, kus saab korraldada suuri festivale jne.")</f>
        <v>Suur 10 000m2 park, kus saab korraldada suuri festivale jne.</v>
      </c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</row>
    <row r="87">
      <c r="A87" s="70" t="str">
        <f>IFERROR(__xludf.DUMMYFUNCTION("""COMPUTED_VALUE"""),"Kultuuriklubi Salong")</f>
        <v>Kultuuriklubi Salong</v>
      </c>
      <c r="B87" s="71" t="str">
        <f>IFERROR(__xludf.DUMMYFUNCTION("""COMPUTED_VALUE"""),"Tartu linn")</f>
        <v>Tartu linn</v>
      </c>
      <c r="C87" s="73" t="str">
        <f>IFERROR(__xludf.DUMMYFUNCTION("""COMPUTED_VALUE"""),"Klubi")</f>
        <v>Klubi</v>
      </c>
      <c r="D87" s="72" t="str">
        <f>IFERROR(__xludf.DUMMYFUNCTION("""COMPUTED_VALUE"""),"https://www.facebook.com/kultuuriklubiSalong")</f>
        <v>https://www.facebook.com/kultuuriklubiSalong</v>
      </c>
      <c r="E87" s="73" t="str">
        <f>IFERROR(__xludf.DUMMYFUNCTION("""COMPUTED_VALUE"""),"5854 1718")</f>
        <v>5854 1718</v>
      </c>
      <c r="F87" s="73" t="str">
        <f>IFERROR(__xludf.DUMMYFUNCTION("""COMPUTED_VALUE"""),"velsker@gmail.com")</f>
        <v>velsker@gmail.com</v>
      </c>
      <c r="G87" s="73" t="str">
        <f>IFERROR(__xludf.DUMMYFUNCTION("""COMPUTED_VALUE"""),"Ants Siim")</f>
        <v>Ants Siim</v>
      </c>
      <c r="H87" s="73" t="str">
        <f>IFERROR(__xludf.DUMMYFUNCTION("""COMPUTED_VALUE"""),"Vanemuise 19, 51014")</f>
        <v>Vanemuise 19, 51014</v>
      </c>
      <c r="I87" s="68" t="str">
        <f>IFERROR(__xludf.DUMMYFUNCTION("""COMPUTED_VALUE"""),"200+")</f>
        <v>200+</v>
      </c>
      <c r="J87" s="68" t="str">
        <f>IFERROR(__xludf.DUMMYFUNCTION("""COMPUTED_VALUE"""),"Jah")</f>
        <v>Jah</v>
      </c>
      <c r="K87" s="68" t="str">
        <f>IFERROR(__xludf.DUMMYFUNCTION("""COMPUTED_VALUE"""),"Keldrikorrusel")</f>
        <v>Keldrikorrusel</v>
      </c>
      <c r="L87" s="68">
        <f>IFERROR(__xludf.DUMMYFUNCTION("""COMPUTED_VALUE"""),100.0)</f>
        <v>100</v>
      </c>
      <c r="M87" s="68"/>
      <c r="N87" s="68">
        <f>IFERROR(__xludf.DUMMYFUNCTION("""COMPUTED_VALUE"""),20.0)</f>
        <v>20</v>
      </c>
      <c r="O87" s="68" t="str">
        <f>IFERROR(__xludf.DUMMYFUNCTION("""COMPUTED_VALUE"""),"Olemas")</f>
        <v>Olemas</v>
      </c>
      <c r="P87" s="68" t="str">
        <f>IFERROR(__xludf.DUMMYFUNCTION("""COMPUTED_VALUE"""),"Olemas")</f>
        <v>Olemas</v>
      </c>
      <c r="Q87" s="68" t="str">
        <f>IFERROR(__xludf.DUMMYFUNCTION("""COMPUTED_VALUE"""),"Olemas")</f>
        <v>Olemas</v>
      </c>
      <c r="R87" s="68"/>
      <c r="S87" s="68" t="str">
        <f>IFERROR(__xludf.DUMMYFUNCTION("""COMPUTED_VALUE"""),"Jah")</f>
        <v>Jah</v>
      </c>
      <c r="T87" s="68" t="str">
        <f>IFERROR(__xludf.DUMMYFUNCTION("""COMPUTED_VALUE"""),"Galeriivalgus, stanged")</f>
        <v>Galeriivalgus, stanged</v>
      </c>
      <c r="U87" s="68"/>
      <c r="V87" s="68" t="str">
        <f>IFERROR(__xludf.DUMMYFUNCTION("""COMPUTED_VALUE"""),"Ei")</f>
        <v>Ei</v>
      </c>
      <c r="W87" s="68" t="str">
        <f>IFERROR(__xludf.DUMMYFUNCTION("""COMPUTED_VALUE"""),"Jah")</f>
        <v>Jah</v>
      </c>
      <c r="X87" s="68" t="str">
        <f>IFERROR(__xludf.DUMMYFUNCTION("""COMPUTED_VALUE"""),"Jah")</f>
        <v>Jah</v>
      </c>
      <c r="Y87" s="68" t="str">
        <f>IFERROR(__xludf.DUMMYFUNCTION("""COMPUTED_VALUE"""),"Parklas")</f>
        <v>Parklas</v>
      </c>
      <c r="Z87" s="68" t="str">
        <f>IFERROR(__xludf.DUMMYFUNCTION("""COMPUTED_VALUE"""),"Siseõu ja aed, kus saab korraldada paarisaja inimesega üritusi.")</f>
        <v>Siseõu ja aed, kus saab korraldada paarisaja inimesega üritusi.</v>
      </c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</row>
    <row r="88">
      <c r="A88" s="70" t="str">
        <f>IFERROR(__xludf.DUMMYFUNCTION("""COMPUTED_VALUE"""),"Krokodilli klubi")</f>
        <v>Krokodilli klubi</v>
      </c>
      <c r="B88" s="71" t="str">
        <f>IFERROR(__xludf.DUMMYFUNCTION("""COMPUTED_VALUE"""),"Tartu linn")</f>
        <v>Tartu linn</v>
      </c>
      <c r="C88" s="73" t="str">
        <f>IFERROR(__xludf.DUMMYFUNCTION("""COMPUTED_VALUE"""),"Klubi")</f>
        <v>Klubi</v>
      </c>
      <c r="D88" s="72" t="str">
        <f>IFERROR(__xludf.DUMMYFUNCTION("""COMPUTED_VALUE"""),"https://www.facebook.com/krokstartu")</f>
        <v>https://www.facebook.com/krokstartu</v>
      </c>
      <c r="E88" s="73"/>
      <c r="F88" s="73" t="str">
        <f>IFERROR(__xludf.DUMMYFUNCTION("""COMPUTED_VALUE"""),"joonas.soosaar@gmail.com")</f>
        <v>joonas.soosaar@gmail.com</v>
      </c>
      <c r="G88" s="73" t="str">
        <f>IFERROR(__xludf.DUMMYFUNCTION("""COMPUTED_VALUE"""),"Sander Luuk")</f>
        <v>Sander Luuk</v>
      </c>
      <c r="H88" s="73" t="str">
        <f>IFERROR(__xludf.DUMMYFUNCTION("""COMPUTED_VALUE"""),"Liiva 41, 50303")</f>
        <v>Liiva 41, 50303</v>
      </c>
      <c r="I88" s="68" t="str">
        <f>IFERROR(__xludf.DUMMYFUNCTION("""COMPUTED_VALUE"""),"100+")</f>
        <v>100+</v>
      </c>
      <c r="J88" s="68" t="str">
        <f>IFERROR(__xludf.DUMMYFUNCTION("""COMPUTED_VALUE"""),"Jah")</f>
        <v>Jah</v>
      </c>
      <c r="K88" s="68" t="str">
        <f>IFERROR(__xludf.DUMMYFUNCTION("""COMPUTED_VALUE"""),"Kolmas")</f>
        <v>Kolmas</v>
      </c>
      <c r="L88" s="68">
        <f>IFERROR(__xludf.DUMMYFUNCTION("""COMPUTED_VALUE"""),150.0)</f>
        <v>150</v>
      </c>
      <c r="M88" s="68"/>
      <c r="N88" s="68"/>
      <c r="O88" s="68" t="str">
        <f>IFERROR(__xludf.DUMMYFUNCTION("""COMPUTED_VALUE"""),"Olemas")</f>
        <v>Olemas</v>
      </c>
      <c r="P88" s="68" t="str">
        <f>IFERROR(__xludf.DUMMYFUNCTION("""COMPUTED_VALUE"""),"Olemas")</f>
        <v>Olemas</v>
      </c>
      <c r="Q88" s="68" t="str">
        <f>IFERROR(__xludf.DUMMYFUNCTION("""COMPUTED_VALUE"""),"Olemas")</f>
        <v>Olemas</v>
      </c>
      <c r="R88" s="68"/>
      <c r="S88" s="68" t="str">
        <f>IFERROR(__xludf.DUMMYFUNCTION("""COMPUTED_VALUE"""),"Ei")</f>
        <v>Ei</v>
      </c>
      <c r="T88" s="68" t="str">
        <f>IFERROR(__xludf.DUMMYFUNCTION("""COMPUTED_VALUE"""),"Seintele riputamisvõimalus")</f>
        <v>Seintele riputamisvõimalus</v>
      </c>
      <c r="U88" s="68"/>
      <c r="V88" s="68" t="str">
        <f>IFERROR(__xludf.DUMMYFUNCTION("""COMPUTED_VALUE"""),"Ei")</f>
        <v>Ei</v>
      </c>
      <c r="W88" s="68" t="str">
        <f>IFERROR(__xludf.DUMMYFUNCTION("""COMPUTED_VALUE"""),"Jah")</f>
        <v>Jah</v>
      </c>
      <c r="X88" s="68" t="str">
        <f>IFERROR(__xludf.DUMMYFUNCTION("""COMPUTED_VALUE"""),"Jah")</f>
        <v>Jah</v>
      </c>
      <c r="Y88" s="68" t="str">
        <f>IFERROR(__xludf.DUMMYFUNCTION("""COMPUTED_VALUE"""),"Tänaval")</f>
        <v>Tänaval</v>
      </c>
      <c r="Z88" s="68" t="str">
        <f>IFERROR(__xludf.DUMMYFUNCTION("""COMPUTED_VALUE"""),"Puudub")</f>
        <v>Puudub</v>
      </c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</row>
    <row r="89">
      <c r="A89" s="75" t="str">
        <f>IFERROR(__xludf.DUMMYFUNCTION("""COMPUTED_VALUE"""),"V-Spa konverentsikeskus")</f>
        <v>V-Spa konverentsikeskus</v>
      </c>
      <c r="B89" s="71" t="str">
        <f>IFERROR(__xludf.DUMMYFUNCTION("""COMPUTED_VALUE"""),"Tartu linn")</f>
        <v>Tartu linn</v>
      </c>
      <c r="C89" s="71" t="str">
        <f>IFERROR(__xludf.DUMMYFUNCTION("""COMPUTED_VALUE"""),"Sündmuskeskus")</f>
        <v>Sündmuskeskus</v>
      </c>
      <c r="D89" s="72" t="str">
        <f>IFERROR(__xludf.DUMMYFUNCTION("""COMPUTED_VALUE"""),"https://vspahotel.ee/konverentsikeskus/v-konverentsikeskus/")</f>
        <v>https://vspahotel.ee/konverentsikeskus/v-konverentsikeskus/</v>
      </c>
      <c r="E89" s="73" t="str">
        <f>IFERROR(__xludf.DUMMYFUNCTION("""COMPUTED_VALUE"""),"677 6677")</f>
        <v>677 6677</v>
      </c>
      <c r="F89" s="73" t="str">
        <f>IFERROR(__xludf.DUMMYFUNCTION("""COMPUTED_VALUE"""),"info@vspahotel.ee")</f>
        <v>info@vspahotel.ee</v>
      </c>
      <c r="G89" s="76" t="str">
        <f>IFERROR(__xludf.DUMMYFUNCTION("""COMPUTED_VALUE"""),"Kerli Pauskar")</f>
        <v>Kerli Pauskar</v>
      </c>
      <c r="H89" s="73" t="str">
        <f>IFERROR(__xludf.DUMMYFUNCTION("""COMPUTED_VALUE"""),"Riia 2, 51004")</f>
        <v>Riia 2, 51004</v>
      </c>
      <c r="I89" s="68" t="str">
        <f>IFERROR(__xludf.DUMMYFUNCTION("""COMPUTED_VALUE"""),"600+")</f>
        <v>600+</v>
      </c>
      <c r="J89" s="68" t="str">
        <f>IFERROR(__xludf.DUMMYFUNCTION("""COMPUTED_VALUE"""),"Jah")</f>
        <v>Jah</v>
      </c>
      <c r="K89" s="68" t="str">
        <f>IFERROR(__xludf.DUMMYFUNCTION("""COMPUTED_VALUE"""),"Kolmas")</f>
        <v>Kolmas</v>
      </c>
      <c r="L89" s="68">
        <f>IFERROR(__xludf.DUMMYFUNCTION("""COMPUTED_VALUE"""),341.0)</f>
        <v>341</v>
      </c>
      <c r="M89" s="68"/>
      <c r="N89" s="68">
        <f>IFERROR(__xludf.DUMMYFUNCTION("""COMPUTED_VALUE"""),60.0)</f>
        <v>60</v>
      </c>
      <c r="O89" s="68" t="str">
        <f>IFERROR(__xludf.DUMMYFUNCTION("""COMPUTED_VALUE"""),"Olemas")</f>
        <v>Olemas</v>
      </c>
      <c r="P89" s="68" t="str">
        <f>IFERROR(__xludf.DUMMYFUNCTION("""COMPUTED_VALUE"""),"Olemas")</f>
        <v>Olemas</v>
      </c>
      <c r="Q89" s="68" t="str">
        <f>IFERROR(__xludf.DUMMYFUNCTION("""COMPUTED_VALUE"""),"Olemas")</f>
        <v>Olemas</v>
      </c>
      <c r="R89" s="68"/>
      <c r="S89" s="68" t="str">
        <f>IFERROR(__xludf.DUMMYFUNCTION("""COMPUTED_VALUE"""),"Ei")</f>
        <v>Ei</v>
      </c>
      <c r="T89" s="68" t="str">
        <f>IFERROR(__xludf.DUMMYFUNCTION("""COMPUTED_VALUE"""),"Seintele riputamisvõimalus")</f>
        <v>Seintele riputamisvõimalus</v>
      </c>
      <c r="U89" s="68"/>
      <c r="V89" s="68" t="str">
        <f>IFERROR(__xludf.DUMMYFUNCTION("""COMPUTED_VALUE"""),"Jah")</f>
        <v>Jah</v>
      </c>
      <c r="W89" s="68" t="str">
        <f>IFERROR(__xludf.DUMMYFUNCTION("""COMPUTED_VALUE"""),"Jah")</f>
        <v>Jah</v>
      </c>
      <c r="X89" s="68" t="str">
        <f>IFERROR(__xludf.DUMMYFUNCTION("""COMPUTED_VALUE"""),"Jah")</f>
        <v>Jah</v>
      </c>
      <c r="Y89" s="68" t="str">
        <f>IFERROR(__xludf.DUMMYFUNCTION("""COMPUTED_VALUE"""),"Parklad")</f>
        <v>Parklad</v>
      </c>
      <c r="Z89" s="68" t="str">
        <f>IFERROR(__xludf.DUMMYFUNCTION("""COMPUTED_VALUE"""),"Puudub")</f>
        <v>Puudub</v>
      </c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</row>
    <row r="90">
      <c r="A90" s="75" t="str">
        <f>IFERROR(__xludf.DUMMYFUNCTION("""COMPUTED_VALUE"""),"Aparaaditehas (Armastuse saal)")</f>
        <v>Aparaaditehas (Armastuse saal)</v>
      </c>
      <c r="B90" s="71" t="str">
        <f>IFERROR(__xludf.DUMMYFUNCTION("""COMPUTED_VALUE"""),"Tartu linn")</f>
        <v>Tartu linn</v>
      </c>
      <c r="C90" s="71" t="str">
        <f>IFERROR(__xludf.DUMMYFUNCTION("""COMPUTED_VALUE"""),"Sündmuskeskus")</f>
        <v>Sündmuskeskus</v>
      </c>
      <c r="D90" s="72" t="str">
        <f>IFERROR(__xludf.DUMMYFUNCTION("""COMPUTED_VALUE"""),"https://www.aparaaditehas.ee/majalised/armastuse-saal")</f>
        <v>https://www.aparaaditehas.ee/majalised/armastuse-saal</v>
      </c>
      <c r="E90" s="73" t="str">
        <f>IFERROR(__xludf.DUMMYFUNCTION("""COMPUTED_VALUE"""),"5820 6660")</f>
        <v>5820 6660</v>
      </c>
      <c r="F90" s="76" t="str">
        <f>IFERROR(__xludf.DUMMYFUNCTION("""COMPUTED_VALUE"""),"hanna-marii@aparaaditehas.ee")</f>
        <v>hanna-marii@aparaaditehas.ee</v>
      </c>
      <c r="G90" s="76" t="str">
        <f>IFERROR(__xludf.DUMMYFUNCTION("""COMPUTED_VALUE"""),"Kerli Jõgi")</f>
        <v>Kerli Jõgi</v>
      </c>
      <c r="H90" s="73" t="str">
        <f>IFERROR(__xludf.DUMMYFUNCTION("""COMPUTED_VALUE"""),"Kastani 42, 50410")</f>
        <v>Kastani 42, 50410</v>
      </c>
      <c r="I90" s="68" t="str">
        <f>IFERROR(__xludf.DUMMYFUNCTION("""COMPUTED_VALUE"""),"200+")</f>
        <v>200+</v>
      </c>
      <c r="J90" s="68" t="str">
        <f>IFERROR(__xludf.DUMMYFUNCTION("""COMPUTED_VALUE"""),"Jah")</f>
        <v>Jah</v>
      </c>
      <c r="K90" s="68" t="str">
        <f>IFERROR(__xludf.DUMMYFUNCTION("""COMPUTED_VALUE"""),"Esimene")</f>
        <v>Esimene</v>
      </c>
      <c r="L90" s="68">
        <f>IFERROR(__xludf.DUMMYFUNCTION("""COMPUTED_VALUE"""),120.0)</f>
        <v>120</v>
      </c>
      <c r="M90" s="68"/>
      <c r="N90" s="68">
        <f>IFERROR(__xludf.DUMMYFUNCTION("""COMPUTED_VALUE"""),15.0)</f>
        <v>15</v>
      </c>
      <c r="O90" s="68" t="str">
        <f>IFERROR(__xludf.DUMMYFUNCTION("""COMPUTED_VALUE"""),"Olemas")</f>
        <v>Olemas</v>
      </c>
      <c r="P90" s="68" t="str">
        <f>IFERROR(__xludf.DUMMYFUNCTION("""COMPUTED_VALUE"""),"Olemas")</f>
        <v>Olemas</v>
      </c>
      <c r="Q90" s="68" t="str">
        <f>IFERROR(__xludf.DUMMYFUNCTION("""COMPUTED_VALUE"""),"Olemas")</f>
        <v>Olemas</v>
      </c>
      <c r="R90" s="68"/>
      <c r="S90" s="68" t="str">
        <f>IFERROR(__xludf.DUMMYFUNCTION("""COMPUTED_VALUE"""),"Ei")</f>
        <v>Ei</v>
      </c>
      <c r="T90" s="68" t="str">
        <f>IFERROR(__xludf.DUMMYFUNCTION("""COMPUTED_VALUE"""),"Seintele riputamisvõimalus")</f>
        <v>Seintele riputamisvõimalus</v>
      </c>
      <c r="U90" s="68"/>
      <c r="V90" s="68" t="str">
        <f>IFERROR(__xludf.DUMMYFUNCTION("""COMPUTED_VALUE"""),"Jah")</f>
        <v>Jah</v>
      </c>
      <c r="W90" s="68" t="str">
        <f>IFERROR(__xludf.DUMMYFUNCTION("""COMPUTED_VALUE"""),"Jah")</f>
        <v>Jah</v>
      </c>
      <c r="X90" s="68" t="str">
        <f>IFERROR(__xludf.DUMMYFUNCTION("""COMPUTED_VALUE"""),"Jah")</f>
        <v>Jah</v>
      </c>
      <c r="Y90" s="68" t="str">
        <f>IFERROR(__xludf.DUMMYFUNCTION("""COMPUTED_VALUE"""),"Parklad")</f>
        <v>Parklad</v>
      </c>
      <c r="Z90" s="68" t="str">
        <f>IFERROR(__xludf.DUMMYFUNCTION("""COMPUTED_VALUE"""),"Aparaaditehase sisehoovis.")</f>
        <v>Aparaaditehase sisehoovis.</v>
      </c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</row>
    <row r="91">
      <c r="A91" s="75" t="str">
        <f>IFERROR(__xludf.DUMMYFUNCTION("""COMPUTED_VALUE"""),"Tartu Laululava")</f>
        <v>Tartu Laululava</v>
      </c>
      <c r="B91" s="71" t="str">
        <f>IFERROR(__xludf.DUMMYFUNCTION("""COMPUTED_VALUE"""),"Tartu linn")</f>
        <v>Tartu linn</v>
      </c>
      <c r="C91" s="77" t="str">
        <f>IFERROR(__xludf.DUMMYFUNCTION("""COMPUTED_VALUE"""),"Vabaõhulava")</f>
        <v>Vabaõhulava</v>
      </c>
      <c r="D91" s="72" t="str">
        <f>IFERROR(__xludf.DUMMYFUNCTION("""COMPUTED_VALUE"""),"www.arena.ee")</f>
        <v>www.arena.ee</v>
      </c>
      <c r="E91" s="73" t="str">
        <f>IFERROR(__xludf.DUMMYFUNCTION("""COMPUTED_VALUE"""),"742 2952")</f>
        <v>742 2952</v>
      </c>
      <c r="F91" s="73" t="str">
        <f>IFERROR(__xludf.DUMMYFUNCTION("""COMPUTED_VALUE"""),"tahtvere@tartusport.ee")</f>
        <v>tahtvere@tartusport.ee</v>
      </c>
      <c r="G91" s="76" t="str">
        <f>IFERROR(__xludf.DUMMYFUNCTION("""COMPUTED_VALUE"""),"Auli Solo")</f>
        <v>Auli Solo</v>
      </c>
      <c r="H91" s="73" t="str">
        <f>IFERROR(__xludf.DUMMYFUNCTION("""COMPUTED_VALUE"""),"Laulupeo pst 25, 51007")</f>
        <v>Laulupeo pst 25, 51007</v>
      </c>
      <c r="I91" s="68" t="str">
        <f>IFERROR(__xludf.DUMMYFUNCTION("""COMPUTED_VALUE"""),"15000+")</f>
        <v>15000+</v>
      </c>
      <c r="J91" s="68" t="str">
        <f>IFERROR(__xludf.DUMMYFUNCTION("""COMPUTED_VALUE"""),"Jah")</f>
        <v>Jah</v>
      </c>
      <c r="K91" s="68" t="str">
        <f>IFERROR(__xludf.DUMMYFUNCTION("""COMPUTED_VALUE"""),"Teine")</f>
        <v>Teine</v>
      </c>
      <c r="L91" s="68">
        <f>IFERROR(__xludf.DUMMYFUNCTION("""COMPUTED_VALUE"""),100.0)</f>
        <v>100</v>
      </c>
      <c r="M91" s="68"/>
      <c r="N91" s="68">
        <f>IFERROR(__xludf.DUMMYFUNCTION("""COMPUTED_VALUE"""),100.0)</f>
        <v>100</v>
      </c>
      <c r="O91" s="68" t="str">
        <f>IFERROR(__xludf.DUMMYFUNCTION("""COMPUTED_VALUE"""),"Olemas")</f>
        <v>Olemas</v>
      </c>
      <c r="P91" s="68" t="str">
        <f>IFERROR(__xludf.DUMMYFUNCTION("""COMPUTED_VALUE"""),"Olemas")</f>
        <v>Olemas</v>
      </c>
      <c r="Q91" s="68" t="str">
        <f>IFERROR(__xludf.DUMMYFUNCTION("""COMPUTED_VALUE"""),"Olemas")</f>
        <v>Olemas</v>
      </c>
      <c r="R91" s="68"/>
      <c r="S91" s="68" t="str">
        <f>IFERROR(__xludf.DUMMYFUNCTION("""COMPUTED_VALUE"""),"Ei")</f>
        <v>Ei</v>
      </c>
      <c r="T91" s="68" t="str">
        <f>IFERROR(__xludf.DUMMYFUNCTION("""COMPUTED_VALUE"""),"Seintele riputamisvõimalus")</f>
        <v>Seintele riputamisvõimalus</v>
      </c>
      <c r="U91" s="68"/>
      <c r="V91" s="68" t="str">
        <f>IFERROR(__xludf.DUMMYFUNCTION("""COMPUTED_VALUE"""),"Jah")</f>
        <v>Jah</v>
      </c>
      <c r="W91" s="68" t="str">
        <f>IFERROR(__xludf.DUMMYFUNCTION("""COMPUTED_VALUE"""),"Jah")</f>
        <v>Jah</v>
      </c>
      <c r="X91" s="68" t="str">
        <f>IFERROR(__xludf.DUMMYFUNCTION("""COMPUTED_VALUE"""),"Jah")</f>
        <v>Jah</v>
      </c>
      <c r="Y91" s="68" t="str">
        <f>IFERROR(__xludf.DUMMYFUNCTION("""COMPUTED_VALUE"""),"Parklad")</f>
        <v>Parklad</v>
      </c>
      <c r="Z91" s="68" t="str">
        <f>IFERROR(__xludf.DUMMYFUNCTION("""COMPUTED_VALUE"""),"Lauluväljak  10 000 statsionaarsete istekohta, 5000 murupeal. + 2500 istekohta raadiomaja taga nõlval, olemas lava")</f>
        <v>Lauluväljak  10 000 statsionaarsete istekohta, 5000 murupeal. + 2500 istekohta raadiomaja taga nõlval, olemas lava</v>
      </c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</row>
    <row r="92">
      <c r="A92" s="68" t="str">
        <f>IFERROR(__xludf.DUMMYFUNCTION("""COMPUTED_VALUE"""),"TÜ kunstimuuseum")</f>
        <v>TÜ kunstimuuseum</v>
      </c>
      <c r="B92" s="68" t="str">
        <f>IFERROR(__xludf.DUMMYFUNCTION("""COMPUTED_VALUE"""),"Tartu linn")</f>
        <v>Tartu linn</v>
      </c>
      <c r="C92" s="68" t="str">
        <f>IFERROR(__xludf.DUMMYFUNCTION("""COMPUTED_VALUE"""),"Muuseum")</f>
        <v>Muuseum</v>
      </c>
      <c r="D92" s="69" t="str">
        <f>IFERROR(__xludf.DUMMYFUNCTION("""COMPUTED_VALUE"""),"www.kunstimuuseum.ut.ee")</f>
        <v>www.kunstimuuseum.ut.ee</v>
      </c>
      <c r="E92" s="68" t="str">
        <f>IFERROR(__xludf.DUMMYFUNCTION("""COMPUTED_VALUE"""),"737 5385")</f>
        <v>737 5385</v>
      </c>
      <c r="F92" s="68" t="str">
        <f>IFERROR(__xludf.DUMMYFUNCTION("""COMPUTED_VALUE"""),"kunstimuuseum@ut.ee")</f>
        <v>kunstimuuseum@ut.ee</v>
      </c>
      <c r="G92" s="68" t="str">
        <f>IFERROR(__xludf.DUMMYFUNCTION("""COMPUTED_VALUE"""),"Leelo Kriisa")</f>
        <v>Leelo Kriisa</v>
      </c>
      <c r="H92" s="68" t="str">
        <f>IFERROR(__xludf.DUMMYFUNCTION("""COMPUTED_VALUE"""),"Ülikooli 18, 50090")</f>
        <v>Ülikooli 18, 50090</v>
      </c>
      <c r="I92" s="68" t="str">
        <f>IFERROR(__xludf.DUMMYFUNCTION("""COMPUTED_VALUE"""),"100+")</f>
        <v>100+</v>
      </c>
      <c r="J92" s="68" t="str">
        <f>IFERROR(__xludf.DUMMYFUNCTION("""COMPUTED_VALUE"""),"Jah")</f>
        <v>Jah</v>
      </c>
      <c r="K92" s="68" t="str">
        <f>IFERROR(__xludf.DUMMYFUNCTION("""COMPUTED_VALUE"""),"Esimene")</f>
        <v>Esimene</v>
      </c>
      <c r="L92" s="68">
        <f>IFERROR(__xludf.DUMMYFUNCTION("""COMPUTED_VALUE"""),50.0)</f>
        <v>50</v>
      </c>
      <c r="M92" s="68"/>
      <c r="N92" s="68">
        <f>IFERROR(__xludf.DUMMYFUNCTION("""COMPUTED_VALUE"""),20.0)</f>
        <v>20</v>
      </c>
      <c r="O92" s="68" t="str">
        <f>IFERROR(__xludf.DUMMYFUNCTION("""COMPUTED_VALUE"""),"Puuduvad")</f>
        <v>Puuduvad</v>
      </c>
      <c r="P92" s="68" t="str">
        <f>IFERROR(__xludf.DUMMYFUNCTION("""COMPUTED_VALUE"""),"Puuduvad")</f>
        <v>Puuduvad</v>
      </c>
      <c r="Q92" s="68" t="str">
        <f>IFERROR(__xludf.DUMMYFUNCTION("""COMPUTED_VALUE"""),"Olemas")</f>
        <v>Olemas</v>
      </c>
      <c r="R92" s="68"/>
      <c r="S92" s="68" t="str">
        <f>IFERROR(__xludf.DUMMYFUNCTION("""COMPUTED_VALUE"""),"Ei")</f>
        <v>Ei</v>
      </c>
      <c r="T92" s="68" t="str">
        <f>IFERROR(__xludf.DUMMYFUNCTION("""COMPUTED_VALUE"""),"Ei")</f>
        <v>Ei</v>
      </c>
      <c r="U92" s="68"/>
      <c r="V92" s="68" t="str">
        <f>IFERROR(__xludf.DUMMYFUNCTION("""COMPUTED_VALUE"""),"Jah")</f>
        <v>Jah</v>
      </c>
      <c r="W92" s="68" t="str">
        <f>IFERROR(__xludf.DUMMYFUNCTION("""COMPUTED_VALUE"""),"Jah")</f>
        <v>Jah</v>
      </c>
      <c r="X92" s="68" t="str">
        <f>IFERROR(__xludf.DUMMYFUNCTION("""COMPUTED_VALUE"""),"Jah")</f>
        <v>Jah</v>
      </c>
      <c r="Y92" s="68" t="str">
        <f>IFERROR(__xludf.DUMMYFUNCTION("""COMPUTED_VALUE"""),"Tänaval")</f>
        <v>Tänaval</v>
      </c>
      <c r="Z92" s="68" t="str">
        <f>IFERROR(__xludf.DUMMYFUNCTION("""COMPUTED_VALUE"""),"Peahoone siseõu")</f>
        <v>Peahoone siseõu</v>
      </c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</row>
    <row r="93">
      <c r="A93" s="68" t="str">
        <f>IFERROR(__xludf.DUMMYFUNCTION("""COMPUTED_VALUE"""),"Spark Demo ")</f>
        <v>Spark Demo </v>
      </c>
      <c r="B93" s="68" t="str">
        <f>IFERROR(__xludf.DUMMYFUNCTION("""COMPUTED_VALUE"""),"Tartu linn")</f>
        <v>Tartu linn</v>
      </c>
      <c r="C93" s="68" t="str">
        <f>IFERROR(__xludf.DUMMYFUNCTION("""COMPUTED_VALUE"""),"Elamuskeskus")</f>
        <v>Elamuskeskus</v>
      </c>
      <c r="D93" s="69" t="str">
        <f>IFERROR(__xludf.DUMMYFUNCTION("""COMPUTED_VALUE"""),"www.sparkdemo.ee")</f>
        <v>www.sparkdemo.ee</v>
      </c>
      <c r="E93" s="68" t="str">
        <f>IFERROR(__xludf.DUMMYFUNCTION("""COMPUTED_VALUE"""),"5355 2518")</f>
        <v>5355 2518</v>
      </c>
      <c r="F93" s="68" t="str">
        <f>IFERROR(__xludf.DUMMYFUNCTION("""COMPUTED_VALUE"""),"info@sparkdemo.ee")</f>
        <v>info@sparkdemo.ee</v>
      </c>
      <c r="G93" s="68" t="str">
        <f>IFERROR(__xludf.DUMMYFUNCTION("""COMPUTED_VALUE"""),"Rasmus Haugasmägi")</f>
        <v>Rasmus Haugasmägi</v>
      </c>
      <c r="H93" s="68" t="str">
        <f>IFERROR(__xludf.DUMMYFUNCTION("""COMPUTED_VALUE"""),"Narva mnt 3, 51009")</f>
        <v>Narva mnt 3, 51009</v>
      </c>
      <c r="I93" s="68" t="str">
        <f>IFERROR(__xludf.DUMMYFUNCTION("""COMPUTED_VALUE"""),"200+")</f>
        <v>200+</v>
      </c>
      <c r="J93" s="68" t="str">
        <f>IFERROR(__xludf.DUMMYFUNCTION("""COMPUTED_VALUE"""),"Jah")</f>
        <v>Jah</v>
      </c>
      <c r="K93" s="68" t="str">
        <f>IFERROR(__xludf.DUMMYFUNCTION("""COMPUTED_VALUE"""),"Esimene")</f>
        <v>Esimene</v>
      </c>
      <c r="L93" s="68">
        <f>IFERROR(__xludf.DUMMYFUNCTION("""COMPUTED_VALUE"""),120.0)</f>
        <v>120</v>
      </c>
      <c r="M93" s="68"/>
      <c r="N93" s="68">
        <f>IFERROR(__xludf.DUMMYFUNCTION("""COMPUTED_VALUE"""),12.0)</f>
        <v>12</v>
      </c>
      <c r="O93" s="68" t="str">
        <f>IFERROR(__xludf.DUMMYFUNCTION("""COMPUTED_VALUE"""),"Olemas")</f>
        <v>Olemas</v>
      </c>
      <c r="P93" s="68" t="str">
        <f>IFERROR(__xludf.DUMMYFUNCTION("""COMPUTED_VALUE"""),"Olemas")</f>
        <v>Olemas</v>
      </c>
      <c r="Q93" s="68" t="str">
        <f>IFERROR(__xludf.DUMMYFUNCTION("""COMPUTED_VALUE"""),"Olemas")</f>
        <v>Olemas</v>
      </c>
      <c r="R93" s="68"/>
      <c r="S93" s="68" t="str">
        <f>IFERROR(__xludf.DUMMYFUNCTION("""COMPUTED_VALUE"""),"Ei")</f>
        <v>Ei</v>
      </c>
      <c r="T93" s="68" t="str">
        <f>IFERROR(__xludf.DUMMYFUNCTION("""COMPUTED_VALUE"""),"Seintele riputamisvõimalus")</f>
        <v>Seintele riputamisvõimalus</v>
      </c>
      <c r="U93" s="68"/>
      <c r="V93" s="68" t="str">
        <f>IFERROR(__xludf.DUMMYFUNCTION("""COMPUTED_VALUE"""),"Jah")</f>
        <v>Jah</v>
      </c>
      <c r="W93" s="68" t="str">
        <f>IFERROR(__xludf.DUMMYFUNCTION("""COMPUTED_VALUE"""),"Jah")</f>
        <v>Jah</v>
      </c>
      <c r="X93" s="68" t="str">
        <f>IFERROR(__xludf.DUMMYFUNCTION("""COMPUTED_VALUE"""),"Jah")</f>
        <v>Jah</v>
      </c>
      <c r="Y93" s="68" t="str">
        <f>IFERROR(__xludf.DUMMYFUNCTION("""COMPUTED_VALUE"""),"Parklas")</f>
        <v>Parklas</v>
      </c>
      <c r="Z93" s="68" t="str">
        <f>IFERROR(__xludf.DUMMYFUNCTION("""COMPUTED_VALUE"""),"Puudub")</f>
        <v>Puudub</v>
      </c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</row>
    <row r="94">
      <c r="A94" s="68" t="str">
        <f>IFERROR(__xludf.DUMMYFUNCTION("""COMPUTED_VALUE"""),"Variku spordihoone")</f>
        <v>Variku spordihoone</v>
      </c>
      <c r="B94" s="68" t="str">
        <f>IFERROR(__xludf.DUMMYFUNCTION("""COMPUTED_VALUE"""),"Tartu linn")</f>
        <v>Tartu linn</v>
      </c>
      <c r="C94" s="68" t="str">
        <f>IFERROR(__xludf.DUMMYFUNCTION("""COMPUTED_VALUE"""),"Spordikeskus")</f>
        <v>Spordikeskus</v>
      </c>
      <c r="D94" s="69" t="str">
        <f>IFERROR(__xludf.DUMMYFUNCTION("""COMPUTED_VALUE"""),"https://tartusport.ee/hooned/spordihooned/variku-spordihoone/")</f>
        <v>https://tartusport.ee/hooned/spordihooned/variku-spordihoone/</v>
      </c>
      <c r="E94" s="68" t="str">
        <f>IFERROR(__xludf.DUMMYFUNCTION("""COMPUTED_VALUE"""),"5332 4145")</f>
        <v>5332 4145</v>
      </c>
      <c r="F94" s="68" t="str">
        <f>IFERROR(__xludf.DUMMYFUNCTION("""COMPUTED_VALUE"""),"variku@tartusport.ee")</f>
        <v>variku@tartusport.ee</v>
      </c>
      <c r="G94" s="68" t="str">
        <f>IFERROR(__xludf.DUMMYFUNCTION("""COMPUTED_VALUE"""),"Tiiu Ärmann")</f>
        <v>Tiiu Ärmann</v>
      </c>
      <c r="H94" s="68" t="str">
        <f>IFERROR(__xludf.DUMMYFUNCTION("""COMPUTED_VALUE"""),"Aianduse 4, 50110")</f>
        <v>Aianduse 4, 50110</v>
      </c>
      <c r="I94" s="68" t="str">
        <f>IFERROR(__xludf.DUMMYFUNCTION("""COMPUTED_VALUE"""),"500+")</f>
        <v>500+</v>
      </c>
      <c r="J94" s="68" t="str">
        <f>IFERROR(__xludf.DUMMYFUNCTION("""COMPUTED_VALUE"""),"Jah")</f>
        <v>Jah</v>
      </c>
      <c r="K94" s="68" t="str">
        <f>IFERROR(__xludf.DUMMYFUNCTION("""COMPUTED_VALUE"""),"Esimene")</f>
        <v>Esimene</v>
      </c>
      <c r="L94" s="68">
        <f>IFERROR(__xludf.DUMMYFUNCTION("""COMPUTED_VALUE"""),376.0)</f>
        <v>376</v>
      </c>
      <c r="M94" s="68"/>
      <c r="N94" s="68">
        <f>IFERROR(__xludf.DUMMYFUNCTION("""COMPUTED_VALUE"""),100.0)</f>
        <v>100</v>
      </c>
      <c r="O94" s="68" t="str">
        <f>IFERROR(__xludf.DUMMYFUNCTION("""COMPUTED_VALUE"""),"Olemas")</f>
        <v>Olemas</v>
      </c>
      <c r="P94" s="68" t="str">
        <f>IFERROR(__xludf.DUMMYFUNCTION("""COMPUTED_VALUE"""),"Puuduvad")</f>
        <v>Puuduvad</v>
      </c>
      <c r="Q94" s="68" t="str">
        <f>IFERROR(__xludf.DUMMYFUNCTION("""COMPUTED_VALUE"""),"Olemas")</f>
        <v>Olemas</v>
      </c>
      <c r="R94" s="68"/>
      <c r="S94" s="68" t="str">
        <f>IFERROR(__xludf.DUMMYFUNCTION("""COMPUTED_VALUE"""),"Ei")</f>
        <v>Ei</v>
      </c>
      <c r="T94" s="68" t="str">
        <f>IFERROR(__xludf.DUMMYFUNCTION("""COMPUTED_VALUE"""),"Seintele riputamisvõimalus")</f>
        <v>Seintele riputamisvõimalus</v>
      </c>
      <c r="U94" s="68"/>
      <c r="V94" s="68" t="str">
        <f>IFERROR(__xludf.DUMMYFUNCTION("""COMPUTED_VALUE"""),"Jah")</f>
        <v>Jah</v>
      </c>
      <c r="W94" s="68" t="str">
        <f>IFERROR(__xludf.DUMMYFUNCTION("""COMPUTED_VALUE"""),"Jah")</f>
        <v>Jah</v>
      </c>
      <c r="X94" s="68" t="str">
        <f>IFERROR(__xludf.DUMMYFUNCTION("""COMPUTED_VALUE"""),"Jah")</f>
        <v>Jah</v>
      </c>
      <c r="Y94" s="68" t="str">
        <f>IFERROR(__xludf.DUMMYFUNCTION("""COMPUTED_VALUE"""),"Parklas")</f>
        <v>Parklas</v>
      </c>
      <c r="Z94" s="68" t="str">
        <f>IFERROR(__xludf.DUMMYFUNCTION("""COMPUTED_VALUE"""),"Aed")</f>
        <v>Aed</v>
      </c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</row>
    <row r="95">
      <c r="A95" s="68" t="str">
        <f>IFERROR(__xludf.DUMMYFUNCTION("""COMPUTED_VALUE"""),"Raadi lennukiangaarid ")</f>
        <v>Raadi lennukiangaarid </v>
      </c>
      <c r="B95" s="68" t="str">
        <f>IFERROR(__xludf.DUMMYFUNCTION("""COMPUTED_VALUE"""),"Tartu linn")</f>
        <v>Tartu linn</v>
      </c>
      <c r="C95" s="68" t="str">
        <f>IFERROR(__xludf.DUMMYFUNCTION("""COMPUTED_VALUE"""),"Spordikeskus")</f>
        <v>Spordikeskus</v>
      </c>
      <c r="D95" s="69" t="str">
        <f>IFERROR(__xludf.DUMMYFUNCTION("""COMPUTED_VALUE"""),"www.fatartukalev.ee")</f>
        <v>www.fatartukalev.ee</v>
      </c>
      <c r="E95" s="68" t="str">
        <f>IFERROR(__xludf.DUMMYFUNCTION("""COMPUTED_VALUE"""),"5883 4660")</f>
        <v>5883 4660</v>
      </c>
      <c r="F95" s="68" t="str">
        <f>IFERROR(__xludf.DUMMYFUNCTION("""COMPUTED_VALUE"""),"info@fatartukalev.ee")</f>
        <v>info@fatartukalev.ee</v>
      </c>
      <c r="G95" s="68" t="str">
        <f>IFERROR(__xludf.DUMMYFUNCTION("""COMPUTED_VALUE"""),"Kalmer Kaasik")</f>
        <v>Kalmer Kaasik</v>
      </c>
      <c r="H95" s="68" t="str">
        <f>IFERROR(__xludf.DUMMYFUNCTION("""COMPUTED_VALUE"""),"Roosi 83, 51009")</f>
        <v>Roosi 83, 51009</v>
      </c>
      <c r="I95" s="68" t="str">
        <f>IFERROR(__xludf.DUMMYFUNCTION("""COMPUTED_VALUE"""),"600+")</f>
        <v>600+</v>
      </c>
      <c r="J95" s="68" t="str">
        <f>IFERROR(__xludf.DUMMYFUNCTION("""COMPUTED_VALUE"""),"Jah")</f>
        <v>Jah</v>
      </c>
      <c r="K95" s="68" t="str">
        <f>IFERROR(__xludf.DUMMYFUNCTION("""COMPUTED_VALUE"""),"Esimene")</f>
        <v>Esimene</v>
      </c>
      <c r="L95" s="68">
        <f>IFERROR(__xludf.DUMMYFUNCTION("""COMPUTED_VALUE"""),600.0)</f>
        <v>600</v>
      </c>
      <c r="M95" s="68"/>
      <c r="N95" s="68">
        <f>IFERROR(__xludf.DUMMYFUNCTION("""COMPUTED_VALUE"""),25.0)</f>
        <v>25</v>
      </c>
      <c r="O95" s="68" t="str">
        <f>IFERROR(__xludf.DUMMYFUNCTION("""COMPUTED_VALUE"""),"Puuduvad")</f>
        <v>Puuduvad</v>
      </c>
      <c r="P95" s="68" t="str">
        <f>IFERROR(__xludf.DUMMYFUNCTION("""COMPUTED_VALUE"""),"Puuduvad")</f>
        <v>Puuduvad</v>
      </c>
      <c r="Q95" s="68" t="str">
        <f>IFERROR(__xludf.DUMMYFUNCTION("""COMPUTED_VALUE"""),"Puuduvad")</f>
        <v>Puuduvad</v>
      </c>
      <c r="R95" s="68"/>
      <c r="S95" s="68" t="str">
        <f>IFERROR(__xludf.DUMMYFUNCTION("""COMPUTED_VALUE"""),"Ei")</f>
        <v>Ei</v>
      </c>
      <c r="T95" s="68" t="str">
        <f>IFERROR(__xludf.DUMMYFUNCTION("""COMPUTED_VALUE"""),"Seintele riputamisvõimalus")</f>
        <v>Seintele riputamisvõimalus</v>
      </c>
      <c r="U95" s="68"/>
      <c r="V95" s="68" t="str">
        <f>IFERROR(__xludf.DUMMYFUNCTION("""COMPUTED_VALUE"""),"Jah")</f>
        <v>Jah</v>
      </c>
      <c r="W95" s="68" t="str">
        <f>IFERROR(__xludf.DUMMYFUNCTION("""COMPUTED_VALUE"""),"Jah")</f>
        <v>Jah</v>
      </c>
      <c r="X95" s="68" t="str">
        <f>IFERROR(__xludf.DUMMYFUNCTION("""COMPUTED_VALUE"""),"Jah")</f>
        <v>Jah</v>
      </c>
      <c r="Y95" s="68" t="str">
        <f>IFERROR(__xludf.DUMMYFUNCTION("""COMPUTED_VALUE"""),"Tänaval/parklas")</f>
        <v>Tänaval/parklas</v>
      </c>
      <c r="Z95" s="68" t="str">
        <f>IFERROR(__xludf.DUMMYFUNCTION("""COMPUTED_VALUE"""),"Hoov")</f>
        <v>Hoov</v>
      </c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</row>
    <row r="96">
      <c r="A96" s="68" t="str">
        <f>IFERROR(__xludf.DUMMYFUNCTION("""COMPUTED_VALUE"""),"Tähtvere tantsukeskus")</f>
        <v>Tähtvere tantsukeskus</v>
      </c>
      <c r="B96" s="68" t="str">
        <f>IFERROR(__xludf.DUMMYFUNCTION("""COMPUTED_VALUE"""),"Tartu linn")</f>
        <v>Tartu linn</v>
      </c>
      <c r="C96" s="68" t="str">
        <f>IFERROR(__xludf.DUMMYFUNCTION("""COMPUTED_VALUE"""),"Spordikeskus")</f>
        <v>Spordikeskus</v>
      </c>
      <c r="D96" s="69" t="str">
        <f>IFERROR(__xludf.DUMMYFUNCTION("""COMPUTED_VALUE"""),"www.tartutants.ee")</f>
        <v>www.tartutants.ee</v>
      </c>
      <c r="E96" s="68" t="str">
        <f>IFERROR(__xludf.DUMMYFUNCTION("""COMPUTED_VALUE"""),"5191 1122")</f>
        <v>5191 1122</v>
      </c>
      <c r="F96" s="68" t="str">
        <f>IFERROR(__xludf.DUMMYFUNCTION("""COMPUTED_VALUE"""),"info@tartutants.ee")</f>
        <v>info@tartutants.ee</v>
      </c>
      <c r="G96" s="68" t="str">
        <f>IFERROR(__xludf.DUMMYFUNCTION("""COMPUTED_VALUE"""),"Eva-Liis Ivask")</f>
        <v>Eva-Liis Ivask</v>
      </c>
      <c r="H96" s="68" t="str">
        <f>IFERROR(__xludf.DUMMYFUNCTION("""COMPUTED_VALUE"""),"Laulupeo pst 19, 51009")</f>
        <v>Laulupeo pst 19, 51009</v>
      </c>
      <c r="I96" s="68" t="str">
        <f>IFERROR(__xludf.DUMMYFUNCTION("""COMPUTED_VALUE"""),"200+")</f>
        <v>200+</v>
      </c>
      <c r="J96" s="68" t="str">
        <f>IFERROR(__xludf.DUMMYFUNCTION("""COMPUTED_VALUE"""),"Jah")</f>
        <v>Jah</v>
      </c>
      <c r="K96" s="68" t="str">
        <f>IFERROR(__xludf.DUMMYFUNCTION("""COMPUTED_VALUE"""),"Teine")</f>
        <v>Teine</v>
      </c>
      <c r="L96" s="68">
        <f>IFERROR(__xludf.DUMMYFUNCTION("""COMPUTED_VALUE"""),120.0)</f>
        <v>120</v>
      </c>
      <c r="M96" s="68"/>
      <c r="N96" s="68">
        <f>IFERROR(__xludf.DUMMYFUNCTION("""COMPUTED_VALUE"""),100.0)</f>
        <v>100</v>
      </c>
      <c r="O96" s="68" t="str">
        <f>IFERROR(__xludf.DUMMYFUNCTION("""COMPUTED_VALUE"""),"Olemas")</f>
        <v>Olemas</v>
      </c>
      <c r="P96" s="68" t="str">
        <f>IFERROR(__xludf.DUMMYFUNCTION("""COMPUTED_VALUE"""),"Puuduvad")</f>
        <v>Puuduvad</v>
      </c>
      <c r="Q96" s="68" t="str">
        <f>IFERROR(__xludf.DUMMYFUNCTION("""COMPUTED_VALUE"""),"Puuduvad")</f>
        <v>Puuduvad</v>
      </c>
      <c r="R96" s="68"/>
      <c r="S96" s="68" t="str">
        <f>IFERROR(__xludf.DUMMYFUNCTION("""COMPUTED_VALUE"""),"Ei")</f>
        <v>Ei</v>
      </c>
      <c r="T96" s="68" t="str">
        <f>IFERROR(__xludf.DUMMYFUNCTION("""COMPUTED_VALUE"""),"Seintele riputamisvõimalus")</f>
        <v>Seintele riputamisvõimalus</v>
      </c>
      <c r="U96" s="68"/>
      <c r="V96" s="68" t="str">
        <f>IFERROR(__xludf.DUMMYFUNCTION("""COMPUTED_VALUE"""),"Ei")</f>
        <v>Ei</v>
      </c>
      <c r="W96" s="68" t="str">
        <f>IFERROR(__xludf.DUMMYFUNCTION("""COMPUTED_VALUE"""),"Jah")</f>
        <v>Jah</v>
      </c>
      <c r="X96" s="68" t="str">
        <f>IFERROR(__xludf.DUMMYFUNCTION("""COMPUTED_VALUE"""),"Jah")</f>
        <v>Jah</v>
      </c>
      <c r="Y96" s="68" t="str">
        <f>IFERROR(__xludf.DUMMYFUNCTION("""COMPUTED_VALUE"""),"Tänaval/parklas")</f>
        <v>Tänaval/parklas</v>
      </c>
      <c r="Z96" s="68" t="str">
        <f>IFERROR(__xludf.DUMMYFUNCTION("""COMPUTED_VALUE"""),"Tähtvere pargis")</f>
        <v>Tähtvere pargis</v>
      </c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</row>
    <row r="97">
      <c r="A97" s="68" t="str">
        <f>IFERROR(__xludf.DUMMYFUNCTION("""COMPUTED_VALUE"""),"Lodjakoda")</f>
        <v>Lodjakoda</v>
      </c>
      <c r="B97" s="68" t="str">
        <f>IFERROR(__xludf.DUMMYFUNCTION("""COMPUTED_VALUE"""),"Tartu linn")</f>
        <v>Tartu linn</v>
      </c>
      <c r="C97" s="68" t="str">
        <f>IFERROR(__xludf.DUMMYFUNCTION("""COMPUTED_VALUE"""),"Elamuskeskus")</f>
        <v>Elamuskeskus</v>
      </c>
      <c r="D97" s="69" t="str">
        <f>IFERROR(__xludf.DUMMYFUNCTION("""COMPUTED_VALUE"""),"www.lodi.ee")</f>
        <v>www.lodi.ee</v>
      </c>
      <c r="E97" s="68" t="str">
        <f>IFERROR(__xludf.DUMMYFUNCTION("""COMPUTED_VALUE"""),"551 8386")</f>
        <v>551 8386</v>
      </c>
      <c r="F97" s="68" t="str">
        <f>IFERROR(__xludf.DUMMYFUNCTION("""COMPUTED_VALUE"""),"info@lodi.ee")</f>
        <v>info@lodi.ee</v>
      </c>
      <c r="G97" s="68" t="str">
        <f>IFERROR(__xludf.DUMMYFUNCTION("""COMPUTED_VALUE"""),"Liisa-Lota Kaivo")</f>
        <v>Liisa-Lota Kaivo</v>
      </c>
      <c r="H97" s="68" t="str">
        <f>IFERROR(__xludf.DUMMYFUNCTION("""COMPUTED_VALUE"""),"Ujula 95, 51008")</f>
        <v>Ujula 95, 51008</v>
      </c>
      <c r="I97" s="68" t="str">
        <f>IFERROR(__xludf.DUMMYFUNCTION("""COMPUTED_VALUE"""),"400+")</f>
        <v>400+</v>
      </c>
      <c r="J97" s="68" t="str">
        <f>IFERROR(__xludf.DUMMYFUNCTION("""COMPUTED_VALUE"""),"Jah")</f>
        <v>Jah</v>
      </c>
      <c r="K97" s="68" t="str">
        <f>IFERROR(__xludf.DUMMYFUNCTION("""COMPUTED_VALUE"""),"Esimene")</f>
        <v>Esimene</v>
      </c>
      <c r="L97" s="68">
        <f>IFERROR(__xludf.DUMMYFUNCTION("""COMPUTED_VALUE"""),250.0)</f>
        <v>250</v>
      </c>
      <c r="M97" s="68"/>
      <c r="N97" s="68">
        <f>IFERROR(__xludf.DUMMYFUNCTION("""COMPUTED_VALUE"""),70.0)</f>
        <v>70</v>
      </c>
      <c r="O97" s="68" t="str">
        <f>IFERROR(__xludf.DUMMYFUNCTION("""COMPUTED_VALUE"""),"Olemas")</f>
        <v>Olemas</v>
      </c>
      <c r="P97" s="68" t="str">
        <f>IFERROR(__xludf.DUMMYFUNCTION("""COMPUTED_VALUE"""),"Olemas")</f>
        <v>Olemas</v>
      </c>
      <c r="Q97" s="68" t="str">
        <f>IFERROR(__xludf.DUMMYFUNCTION("""COMPUTED_VALUE"""),"Olemas")</f>
        <v>Olemas</v>
      </c>
      <c r="R97" s="68"/>
      <c r="S97" s="68" t="str">
        <f>IFERROR(__xludf.DUMMYFUNCTION("""COMPUTED_VALUE"""),"Ei")</f>
        <v>Ei</v>
      </c>
      <c r="T97" s="68" t="str">
        <f>IFERROR(__xludf.DUMMYFUNCTION("""COMPUTED_VALUE"""),"Seintele riputamisvõimalus")</f>
        <v>Seintele riputamisvõimalus</v>
      </c>
      <c r="U97" s="68"/>
      <c r="V97" s="68" t="str">
        <f>IFERROR(__xludf.DUMMYFUNCTION("""COMPUTED_VALUE"""),"Jah")</f>
        <v>Jah</v>
      </c>
      <c r="W97" s="68" t="str">
        <f>IFERROR(__xludf.DUMMYFUNCTION("""COMPUTED_VALUE"""),"Jah")</f>
        <v>Jah</v>
      </c>
      <c r="X97" s="68" t="str">
        <f>IFERROR(__xludf.DUMMYFUNCTION("""COMPUTED_VALUE"""),"Jah")</f>
        <v>Jah</v>
      </c>
      <c r="Y97" s="68" t="str">
        <f>IFERROR(__xludf.DUMMYFUNCTION("""COMPUTED_VALUE"""),"Parklas")</f>
        <v>Parklas</v>
      </c>
      <c r="Z97" s="68" t="str">
        <f>IFERROR(__xludf.DUMMYFUNCTION("""COMPUTED_VALUE"""),"Kuursaal 280m2 + suur väliala, ujuvlava.")</f>
        <v>Kuursaal 280m2 + suur väliala, ujuvlava.</v>
      </c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</row>
    <row r="98">
      <c r="A98" s="68"/>
      <c r="B98" s="68"/>
      <c r="C98" s="68"/>
      <c r="D98" s="7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</row>
    <row r="99">
      <c r="A99" s="68"/>
      <c r="B99" s="68"/>
      <c r="C99" s="68"/>
      <c r="D99" s="7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</row>
    <row r="100">
      <c r="A100" s="68"/>
      <c r="B100" s="68"/>
      <c r="C100" s="68"/>
      <c r="D100" s="7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</row>
    <row r="102">
      <c r="A102" s="68"/>
      <c r="B102" s="68"/>
      <c r="C102" s="68"/>
      <c r="D102" s="7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</row>
    <row r="103">
      <c r="A103" s="68"/>
      <c r="B103" s="68"/>
      <c r="C103" s="68"/>
      <c r="D103" s="7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</row>
    <row r="104">
      <c r="A104" s="68"/>
      <c r="B104" s="68"/>
      <c r="C104" s="68"/>
      <c r="D104" s="7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</row>
    <row r="105">
      <c r="A105" s="68"/>
      <c r="B105" s="68"/>
      <c r="C105" s="68"/>
      <c r="D105" s="7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</row>
    <row r="106">
      <c r="A106" s="68"/>
      <c r="B106" s="68"/>
      <c r="C106" s="68"/>
      <c r="D106" s="7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</row>
    <row r="107">
      <c r="A107" s="68"/>
      <c r="B107" s="68"/>
      <c r="C107" s="68"/>
      <c r="D107" s="7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</row>
    <row r="108">
      <c r="A108" s="68"/>
      <c r="B108" s="68"/>
      <c r="C108" s="68"/>
      <c r="D108" s="7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</row>
    <row r="109">
      <c r="A109" s="68"/>
      <c r="B109" s="68"/>
      <c r="C109" s="68"/>
      <c r="D109" s="7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</row>
    <row r="110">
      <c r="A110" s="68"/>
      <c r="B110" s="68"/>
      <c r="C110" s="68"/>
      <c r="D110" s="7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</row>
    <row r="111">
      <c r="A111" s="68"/>
      <c r="B111" s="68"/>
      <c r="C111" s="68"/>
      <c r="D111" s="7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</row>
    <row r="112">
      <c r="A112" s="68"/>
      <c r="B112" s="68"/>
      <c r="C112" s="68"/>
      <c r="D112" s="7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</row>
    <row r="113">
      <c r="A113" s="68"/>
      <c r="B113" s="68"/>
      <c r="C113" s="68"/>
      <c r="D113" s="7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</row>
    <row r="114">
      <c r="A114" s="68"/>
      <c r="B114" s="68"/>
      <c r="C114" s="68"/>
      <c r="D114" s="7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</row>
    <row r="115">
      <c r="A115" s="68"/>
      <c r="B115" s="68"/>
      <c r="C115" s="68"/>
      <c r="D115" s="7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</row>
    <row r="116">
      <c r="A116" s="68"/>
      <c r="B116" s="68"/>
      <c r="C116" s="68"/>
      <c r="D116" s="7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</row>
    <row r="118">
      <c r="A118" s="68"/>
      <c r="B118" s="68"/>
      <c r="C118" s="68"/>
      <c r="D118" s="7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</row>
    <row r="119">
      <c r="A119" s="68"/>
      <c r="B119" s="68"/>
      <c r="C119" s="68"/>
      <c r="D119" s="7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</row>
    <row r="120">
      <c r="A120" s="68"/>
      <c r="B120" s="68"/>
      <c r="C120" s="68"/>
      <c r="D120" s="7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</row>
    <row r="121">
      <c r="A121" s="68"/>
      <c r="B121" s="68"/>
      <c r="C121" s="68"/>
      <c r="D121" s="7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</row>
    <row r="122">
      <c r="A122" s="68"/>
      <c r="B122" s="68"/>
      <c r="C122" s="68"/>
      <c r="D122" s="7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</row>
    <row r="123">
      <c r="A123" s="68"/>
      <c r="B123" s="68"/>
      <c r="C123" s="68"/>
      <c r="D123" s="7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</row>
    <row r="124">
      <c r="A124" s="68"/>
      <c r="B124" s="68"/>
      <c r="C124" s="68"/>
      <c r="D124" s="7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</row>
    <row r="125">
      <c r="A125" s="68"/>
      <c r="B125" s="68"/>
      <c r="C125" s="68"/>
      <c r="D125" s="7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</row>
    <row r="126">
      <c r="A126" s="68"/>
      <c r="B126" s="68"/>
      <c r="C126" s="68"/>
      <c r="D126" s="7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</row>
    <row r="127">
      <c r="A127" s="68"/>
      <c r="B127" s="68"/>
      <c r="C127" s="68"/>
      <c r="D127" s="7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</row>
    <row r="128">
      <c r="A128" s="68"/>
      <c r="B128" s="68"/>
      <c r="C128" s="68"/>
      <c r="D128" s="7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</row>
    <row r="129">
      <c r="A129" s="68"/>
      <c r="B129" s="68"/>
      <c r="C129" s="68"/>
      <c r="D129" s="7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</row>
    <row r="130">
      <c r="A130" s="68"/>
      <c r="B130" s="68"/>
      <c r="C130" s="68"/>
      <c r="D130" s="7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</row>
    <row r="131">
      <c r="A131" s="68"/>
      <c r="B131" s="68"/>
      <c r="C131" s="68"/>
      <c r="D131" s="7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</row>
    <row r="132">
      <c r="A132" s="68"/>
      <c r="B132" s="68"/>
      <c r="C132" s="68"/>
      <c r="D132" s="7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</row>
    <row r="133">
      <c r="A133" s="68"/>
      <c r="B133" s="68"/>
      <c r="C133" s="68"/>
      <c r="D133" s="7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</row>
    <row r="134">
      <c r="A134" s="68"/>
      <c r="B134" s="68"/>
      <c r="C134" s="68"/>
      <c r="D134" s="7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</row>
    <row r="135">
      <c r="A135" s="68"/>
      <c r="B135" s="68"/>
      <c r="C135" s="68"/>
      <c r="D135" s="7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</row>
    <row r="136">
      <c r="A136" s="68"/>
      <c r="B136" s="68"/>
      <c r="C136" s="68"/>
      <c r="D136" s="7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</row>
    <row r="137">
      <c r="A137" s="68"/>
      <c r="B137" s="68"/>
      <c r="C137" s="68"/>
      <c r="D137" s="7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</row>
    <row r="138">
      <c r="A138" s="68"/>
      <c r="B138" s="68"/>
      <c r="C138" s="68"/>
      <c r="D138" s="7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</row>
    <row r="139">
      <c r="A139" s="68"/>
      <c r="B139" s="68"/>
      <c r="C139" s="68"/>
      <c r="D139" s="7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</row>
    <row r="140">
      <c r="A140" s="68"/>
      <c r="B140" s="68"/>
      <c r="C140" s="68"/>
      <c r="D140" s="7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</row>
    <row r="141">
      <c r="A141" s="68"/>
      <c r="B141" s="68"/>
      <c r="C141" s="68"/>
      <c r="D141" s="7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</row>
    <row r="142">
      <c r="A142" s="68"/>
      <c r="B142" s="68"/>
      <c r="C142" s="68"/>
      <c r="D142" s="7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</row>
    <row r="143">
      <c r="A143" s="68"/>
      <c r="B143" s="68"/>
      <c r="C143" s="68"/>
      <c r="D143" s="7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</row>
    <row r="144">
      <c r="A144" s="68"/>
      <c r="B144" s="68"/>
      <c r="C144" s="68"/>
      <c r="D144" s="7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</row>
    <row r="145">
      <c r="A145" s="68"/>
      <c r="B145" s="68"/>
      <c r="C145" s="68"/>
      <c r="D145" s="7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</row>
    <row r="146">
      <c r="A146" s="68"/>
      <c r="B146" s="68"/>
      <c r="C146" s="68"/>
      <c r="D146" s="7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</row>
    <row r="147">
      <c r="A147" s="68"/>
      <c r="B147" s="68"/>
      <c r="C147" s="68"/>
      <c r="D147" s="7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</row>
    <row r="148">
      <c r="A148" s="68"/>
      <c r="B148" s="68"/>
      <c r="C148" s="68"/>
      <c r="D148" s="7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</row>
    <row r="149">
      <c r="A149" s="68"/>
      <c r="B149" s="68"/>
      <c r="C149" s="68"/>
      <c r="D149" s="7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</row>
    <row r="150">
      <c r="A150" s="68"/>
      <c r="B150" s="68"/>
      <c r="C150" s="68"/>
      <c r="D150" s="7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</row>
    <row r="151">
      <c r="A151" s="68"/>
      <c r="B151" s="68"/>
      <c r="C151" s="68"/>
      <c r="D151" s="7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</row>
    <row r="152">
      <c r="A152" s="68"/>
      <c r="B152" s="68"/>
      <c r="C152" s="68"/>
      <c r="D152" s="7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</row>
    <row r="153">
      <c r="A153" s="68"/>
      <c r="B153" s="68"/>
      <c r="C153" s="68"/>
      <c r="D153" s="7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</row>
    <row r="154">
      <c r="A154" s="68"/>
      <c r="B154" s="68"/>
      <c r="C154" s="68"/>
      <c r="D154" s="7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</row>
    <row r="155">
      <c r="A155" s="68"/>
      <c r="B155" s="68"/>
      <c r="C155" s="68"/>
      <c r="D155" s="7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</row>
    <row r="156">
      <c r="A156" s="68"/>
      <c r="B156" s="68"/>
      <c r="C156" s="68"/>
      <c r="D156" s="7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</row>
    <row r="157">
      <c r="A157" s="68"/>
      <c r="B157" s="68"/>
      <c r="C157" s="68"/>
      <c r="D157" s="7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</row>
    <row r="158">
      <c r="A158" s="68"/>
      <c r="B158" s="68"/>
      <c r="C158" s="68"/>
      <c r="D158" s="7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</row>
    <row r="159">
      <c r="A159" s="68"/>
      <c r="B159" s="68"/>
      <c r="C159" s="68"/>
      <c r="D159" s="7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</row>
    <row r="160">
      <c r="A160" s="68"/>
      <c r="B160" s="68"/>
      <c r="C160" s="68"/>
      <c r="D160" s="7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</row>
    <row r="161">
      <c r="A161" s="68"/>
      <c r="B161" s="68"/>
      <c r="C161" s="68"/>
      <c r="D161" s="7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</row>
    <row r="162">
      <c r="A162" s="68"/>
      <c r="B162" s="68"/>
      <c r="C162" s="68"/>
      <c r="D162" s="7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</row>
    <row r="163">
      <c r="A163" s="68"/>
      <c r="B163" s="68"/>
      <c r="C163" s="68"/>
      <c r="D163" s="7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</row>
    <row r="164">
      <c r="A164" s="68"/>
      <c r="B164" s="68"/>
      <c r="C164" s="68"/>
      <c r="D164" s="7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</row>
    <row r="165">
      <c r="A165" s="68"/>
      <c r="B165" s="68"/>
      <c r="C165" s="68"/>
      <c r="D165" s="7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</row>
    <row r="166">
      <c r="A166" s="68"/>
      <c r="B166" s="68"/>
      <c r="C166" s="68"/>
      <c r="D166" s="7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</row>
    <row r="167">
      <c r="A167" s="68"/>
      <c r="B167" s="68"/>
      <c r="C167" s="68"/>
      <c r="D167" s="7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</row>
    <row r="168">
      <c r="A168" s="68"/>
      <c r="B168" s="68"/>
      <c r="C168" s="68"/>
      <c r="D168" s="7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</row>
    <row r="169">
      <c r="A169" s="68"/>
      <c r="B169" s="68"/>
      <c r="C169" s="68"/>
      <c r="D169" s="7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</row>
    <row r="170">
      <c r="A170" s="68"/>
      <c r="B170" s="68"/>
      <c r="C170" s="68"/>
      <c r="D170" s="7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</row>
    <row r="171">
      <c r="A171" s="68"/>
      <c r="B171" s="68"/>
      <c r="C171" s="68"/>
      <c r="D171" s="7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</row>
    <row r="172">
      <c r="A172" s="68"/>
      <c r="B172" s="68"/>
      <c r="C172" s="68"/>
      <c r="D172" s="7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</row>
    <row r="173">
      <c r="A173" s="68"/>
      <c r="B173" s="68"/>
      <c r="C173" s="68"/>
      <c r="D173" s="7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</row>
    <row r="174">
      <c r="A174" s="68"/>
      <c r="B174" s="68"/>
      <c r="C174" s="68"/>
      <c r="D174" s="7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</row>
    <row r="175">
      <c r="A175" s="68"/>
      <c r="B175" s="68"/>
      <c r="C175" s="68"/>
      <c r="D175" s="7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</row>
    <row r="176">
      <c r="A176" s="68"/>
      <c r="B176" s="68"/>
      <c r="C176" s="68"/>
      <c r="D176" s="7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</row>
    <row r="177">
      <c r="A177" s="68"/>
      <c r="B177" s="68"/>
      <c r="C177" s="68"/>
      <c r="D177" s="7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</row>
    <row r="178">
      <c r="A178" s="68"/>
      <c r="B178" s="68"/>
      <c r="C178" s="68"/>
      <c r="D178" s="7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</row>
    <row r="179">
      <c r="A179" s="68"/>
      <c r="B179" s="68"/>
      <c r="C179" s="68"/>
      <c r="D179" s="7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</row>
    <row r="180">
      <c r="A180" s="68"/>
      <c r="B180" s="68"/>
      <c r="C180" s="68"/>
      <c r="D180" s="7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</row>
    <row r="181">
      <c r="A181" s="68"/>
      <c r="B181" s="68"/>
      <c r="C181" s="68"/>
      <c r="D181" s="7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</row>
    <row r="182">
      <c r="A182" s="68"/>
      <c r="B182" s="68"/>
      <c r="C182" s="68"/>
      <c r="D182" s="7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</row>
    <row r="183">
      <c r="A183" s="68"/>
      <c r="B183" s="68"/>
      <c r="C183" s="68"/>
      <c r="D183" s="7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</row>
    <row r="184">
      <c r="A184" s="68"/>
      <c r="B184" s="68"/>
      <c r="C184" s="68"/>
      <c r="D184" s="7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</row>
    <row r="185">
      <c r="A185" s="68"/>
      <c r="B185" s="68"/>
      <c r="C185" s="68"/>
      <c r="D185" s="7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</row>
    <row r="186">
      <c r="A186" s="68"/>
      <c r="B186" s="68"/>
      <c r="C186" s="68"/>
      <c r="D186" s="7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</row>
    <row r="187">
      <c r="A187" s="68"/>
      <c r="B187" s="68"/>
      <c r="C187" s="68"/>
      <c r="D187" s="7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</row>
    <row r="188">
      <c r="A188" s="68"/>
      <c r="B188" s="68"/>
      <c r="C188" s="68"/>
      <c r="D188" s="7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</row>
    <row r="189">
      <c r="A189" s="68"/>
      <c r="B189" s="68"/>
      <c r="C189" s="68"/>
      <c r="D189" s="7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</row>
    <row r="190">
      <c r="A190" s="68"/>
      <c r="B190" s="68"/>
      <c r="C190" s="68"/>
      <c r="D190" s="7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</row>
    <row r="191">
      <c r="A191" s="68"/>
      <c r="B191" s="68"/>
      <c r="C191" s="68"/>
      <c r="D191" s="7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</row>
    <row r="192">
      <c r="A192" s="68"/>
      <c r="B192" s="68"/>
      <c r="C192" s="68"/>
      <c r="D192" s="7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</row>
    <row r="193">
      <c r="A193" s="68"/>
      <c r="B193" s="68"/>
      <c r="C193" s="68"/>
      <c r="D193" s="7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</row>
    <row r="194">
      <c r="A194" s="68"/>
      <c r="B194" s="68"/>
      <c r="C194" s="68"/>
      <c r="D194" s="7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</row>
    <row r="195">
      <c r="A195" s="68"/>
      <c r="B195" s="68"/>
      <c r="C195" s="68"/>
      <c r="D195" s="7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</row>
    <row r="197">
      <c r="A197" s="68"/>
      <c r="B197" s="68"/>
      <c r="C197" s="68"/>
      <c r="D197" s="7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</row>
    <row r="198">
      <c r="A198" s="68"/>
      <c r="B198" s="68"/>
      <c r="C198" s="68"/>
      <c r="D198" s="7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</row>
    <row r="200">
      <c r="A200" s="68"/>
      <c r="B200" s="68"/>
      <c r="C200" s="68"/>
      <c r="D200" s="7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</row>
    <row r="201">
      <c r="A201" s="68"/>
      <c r="B201" s="68"/>
      <c r="C201" s="68"/>
      <c r="D201" s="7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</row>
    <row r="202">
      <c r="A202" s="68"/>
      <c r="B202" s="68"/>
      <c r="C202" s="68"/>
      <c r="D202" s="7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</row>
    <row r="203">
      <c r="A203" s="68"/>
      <c r="B203" s="68"/>
      <c r="C203" s="68"/>
      <c r="D203" s="7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</row>
    <row r="204">
      <c r="A204" s="68"/>
      <c r="B204" s="68"/>
      <c r="C204" s="68"/>
      <c r="D204" s="7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</row>
    <row r="205">
      <c r="A205" s="68"/>
      <c r="B205" s="68"/>
      <c r="C205" s="68"/>
      <c r="D205" s="7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</row>
    <row r="207">
      <c r="A207" s="68"/>
      <c r="B207" s="68"/>
      <c r="C207" s="68"/>
      <c r="D207" s="7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</row>
    <row r="210">
      <c r="A210" s="68"/>
      <c r="B210" s="68"/>
      <c r="C210" s="68"/>
      <c r="D210" s="7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</row>
    <row r="213">
      <c r="A213" s="68"/>
      <c r="B213" s="68"/>
      <c r="C213" s="68"/>
      <c r="D213" s="7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</row>
    <row r="214">
      <c r="A214" s="68"/>
      <c r="B214" s="68"/>
      <c r="C214" s="68"/>
      <c r="D214" s="7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</row>
    <row r="215">
      <c r="A215" s="68"/>
      <c r="B215" s="68"/>
      <c r="C215" s="68"/>
      <c r="D215" s="7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</row>
    <row r="216">
      <c r="A216" s="68"/>
      <c r="B216" s="68"/>
      <c r="C216" s="68"/>
      <c r="D216" s="7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</row>
    <row r="217">
      <c r="A217" s="68"/>
      <c r="B217" s="68"/>
      <c r="C217" s="68"/>
      <c r="D217" s="7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</row>
    <row r="218">
      <c r="A218" s="68"/>
      <c r="B218" s="68"/>
      <c r="C218" s="68"/>
      <c r="D218" s="7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</row>
    <row r="219">
      <c r="A219" s="68"/>
      <c r="B219" s="68"/>
      <c r="C219" s="68"/>
      <c r="D219" s="7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</row>
    <row r="220">
      <c r="A220" s="68"/>
      <c r="B220" s="68"/>
      <c r="C220" s="68"/>
      <c r="D220" s="7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</row>
    <row r="221">
      <c r="A221" s="68"/>
      <c r="B221" s="68"/>
      <c r="C221" s="68"/>
      <c r="D221" s="7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</row>
    <row r="222">
      <c r="A222" s="68"/>
      <c r="B222" s="68"/>
      <c r="C222" s="68"/>
      <c r="D222" s="7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</row>
    <row r="223">
      <c r="A223" s="68"/>
      <c r="B223" s="68"/>
      <c r="C223" s="68"/>
      <c r="D223" s="7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</row>
    <row r="224">
      <c r="A224" s="68"/>
      <c r="B224" s="68"/>
      <c r="C224" s="68"/>
      <c r="D224" s="7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</row>
    <row r="225">
      <c r="A225" s="68"/>
      <c r="B225" s="68"/>
      <c r="C225" s="68"/>
      <c r="D225" s="7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</row>
    <row r="226">
      <c r="A226" s="68"/>
      <c r="B226" s="68"/>
      <c r="C226" s="68"/>
      <c r="D226" s="7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</row>
    <row r="227">
      <c r="A227" s="68"/>
      <c r="B227" s="68"/>
      <c r="C227" s="68"/>
      <c r="D227" s="7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</row>
    <row r="228">
      <c r="A228" s="68"/>
      <c r="B228" s="68"/>
      <c r="C228" s="68"/>
      <c r="D228" s="7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</row>
    <row r="229">
      <c r="A229" s="68"/>
      <c r="B229" s="68"/>
      <c r="C229" s="68"/>
      <c r="D229" s="7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</row>
    <row r="230">
      <c r="A230" s="68"/>
      <c r="B230" s="68"/>
      <c r="C230" s="68"/>
      <c r="D230" s="7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</row>
    <row r="231">
      <c r="A231" s="68"/>
      <c r="B231" s="68"/>
      <c r="C231" s="68"/>
      <c r="D231" s="7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</row>
    <row r="232">
      <c r="A232" s="68"/>
      <c r="B232" s="68"/>
      <c r="C232" s="68"/>
      <c r="D232" s="7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</row>
    <row r="233">
      <c r="A233" s="68"/>
      <c r="B233" s="68"/>
      <c r="C233" s="68"/>
      <c r="D233" s="7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</row>
    <row r="236">
      <c r="A236" s="68"/>
      <c r="B236" s="68"/>
      <c r="C236" s="68"/>
      <c r="D236" s="7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</row>
    <row r="237">
      <c r="A237" s="68"/>
      <c r="B237" s="68"/>
      <c r="C237" s="68"/>
      <c r="D237" s="7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</row>
    <row r="238">
      <c r="A238" s="68"/>
      <c r="B238" s="68"/>
      <c r="C238" s="68"/>
      <c r="D238" s="7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</row>
    <row r="239">
      <c r="A239" s="68"/>
      <c r="B239" s="68"/>
      <c r="C239" s="68"/>
      <c r="D239" s="7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</row>
    <row r="240">
      <c r="A240" s="68"/>
      <c r="B240" s="68"/>
      <c r="C240" s="68"/>
      <c r="D240" s="7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</row>
    <row r="241">
      <c r="A241" s="68"/>
      <c r="B241" s="68"/>
      <c r="C241" s="68"/>
      <c r="D241" s="7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</row>
    <row r="242">
      <c r="A242" s="68"/>
      <c r="B242" s="68"/>
      <c r="C242" s="68"/>
      <c r="D242" s="7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</row>
    <row r="243">
      <c r="A243" s="68"/>
      <c r="B243" s="68"/>
      <c r="C243" s="68"/>
      <c r="D243" s="7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</row>
    <row r="244">
      <c r="A244" s="68"/>
      <c r="B244" s="68"/>
      <c r="C244" s="68"/>
      <c r="D244" s="7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</row>
    <row r="245">
      <c r="A245" s="68"/>
      <c r="B245" s="68"/>
      <c r="C245" s="68"/>
      <c r="D245" s="7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</row>
    <row r="246">
      <c r="A246" s="68"/>
      <c r="B246" s="68"/>
      <c r="C246" s="68"/>
      <c r="D246" s="7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</row>
    <row r="247">
      <c r="A247" s="68"/>
      <c r="B247" s="68"/>
      <c r="C247" s="68"/>
      <c r="D247" s="7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</row>
    <row r="248">
      <c r="A248" s="68"/>
      <c r="B248" s="68"/>
      <c r="C248" s="68"/>
      <c r="D248" s="7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</row>
    <row r="249">
      <c r="A249" s="68"/>
      <c r="B249" s="68"/>
      <c r="C249" s="68"/>
      <c r="D249" s="7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</row>
    <row r="250">
      <c r="A250" s="68"/>
      <c r="B250" s="68"/>
      <c r="C250" s="68"/>
      <c r="D250" s="7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</row>
    <row r="251">
      <c r="A251" s="68"/>
      <c r="B251" s="68"/>
      <c r="C251" s="68"/>
      <c r="D251" s="7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</row>
    <row r="252">
      <c r="A252" s="68"/>
      <c r="B252" s="68"/>
      <c r="C252" s="68"/>
      <c r="D252" s="7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</row>
    <row r="253">
      <c r="A253" s="68"/>
      <c r="B253" s="68"/>
      <c r="C253" s="68"/>
      <c r="D253" s="7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</row>
    <row r="254">
      <c r="A254" s="68"/>
      <c r="B254" s="68"/>
      <c r="C254" s="68"/>
      <c r="D254" s="7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</row>
    <row r="255">
      <c r="A255" s="68"/>
      <c r="B255" s="68"/>
      <c r="C255" s="68"/>
      <c r="D255" s="7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</row>
    <row r="256">
      <c r="A256" s="68"/>
      <c r="B256" s="68"/>
      <c r="C256" s="68"/>
      <c r="D256" s="7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</row>
    <row r="257">
      <c r="A257" s="68"/>
      <c r="B257" s="68"/>
      <c r="C257" s="68"/>
      <c r="D257" s="7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</row>
    <row r="258">
      <c r="A258" s="68"/>
      <c r="B258" s="68"/>
      <c r="C258" s="68"/>
      <c r="D258" s="7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</row>
    <row r="259">
      <c r="A259" s="68"/>
      <c r="B259" s="68"/>
      <c r="C259" s="68"/>
      <c r="D259" s="7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</row>
    <row r="260">
      <c r="A260" s="68"/>
      <c r="B260" s="68"/>
      <c r="C260" s="68"/>
      <c r="D260" s="7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</row>
    <row r="261">
      <c r="A261" s="68"/>
      <c r="B261" s="68"/>
      <c r="C261" s="68"/>
      <c r="D261" s="7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</row>
    <row r="262">
      <c r="A262" s="68"/>
      <c r="B262" s="68"/>
      <c r="C262" s="68"/>
      <c r="D262" s="7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</row>
    <row r="263">
      <c r="A263" s="68"/>
      <c r="B263" s="68"/>
      <c r="C263" s="68"/>
      <c r="D263" s="7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</row>
    <row r="264">
      <c r="A264" s="68"/>
      <c r="B264" s="68"/>
      <c r="C264" s="68"/>
      <c r="D264" s="7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</row>
    <row r="265">
      <c r="A265" s="68"/>
      <c r="B265" s="68"/>
      <c r="C265" s="68"/>
      <c r="D265" s="7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</row>
    <row r="266">
      <c r="A266" s="68"/>
      <c r="B266" s="68"/>
      <c r="C266" s="68"/>
      <c r="D266" s="7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</row>
    <row r="267">
      <c r="A267" s="68"/>
      <c r="B267" s="68"/>
      <c r="C267" s="68"/>
      <c r="D267" s="7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</row>
    <row r="268">
      <c r="A268" s="68"/>
      <c r="B268" s="68"/>
      <c r="C268" s="68"/>
      <c r="D268" s="7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</row>
    <row r="269">
      <c r="A269" s="68"/>
      <c r="B269" s="68"/>
      <c r="C269" s="68"/>
      <c r="D269" s="7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</row>
    <row r="270">
      <c r="A270" s="68"/>
      <c r="B270" s="68"/>
      <c r="C270" s="68"/>
      <c r="D270" s="7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</row>
    <row r="271">
      <c r="A271" s="68"/>
      <c r="B271" s="68"/>
      <c r="C271" s="68"/>
      <c r="D271" s="7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</row>
    <row r="272">
      <c r="A272" s="68"/>
      <c r="B272" s="68"/>
      <c r="C272" s="68"/>
      <c r="D272" s="7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</row>
    <row r="273">
      <c r="A273" s="68"/>
      <c r="B273" s="68"/>
      <c r="C273" s="68"/>
      <c r="D273" s="7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</row>
    <row r="274">
      <c r="A274" s="68"/>
      <c r="B274" s="68"/>
      <c r="C274" s="68"/>
      <c r="D274" s="7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</row>
    <row r="275">
      <c r="A275" s="68"/>
      <c r="B275" s="68"/>
      <c r="C275" s="68"/>
      <c r="D275" s="7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</row>
    <row r="276">
      <c r="A276" s="68"/>
      <c r="B276" s="68"/>
      <c r="C276" s="68"/>
      <c r="D276" s="7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</row>
    <row r="277">
      <c r="A277" s="68"/>
      <c r="B277" s="68"/>
      <c r="C277" s="68"/>
      <c r="D277" s="7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</row>
    <row r="278">
      <c r="A278" s="68"/>
      <c r="B278" s="68"/>
      <c r="C278" s="68"/>
      <c r="D278" s="7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</row>
    <row r="279">
      <c r="A279" s="68"/>
      <c r="B279" s="68"/>
      <c r="C279" s="68"/>
      <c r="D279" s="7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</row>
    <row r="280">
      <c r="A280" s="68"/>
      <c r="B280" s="68"/>
      <c r="C280" s="68"/>
      <c r="D280" s="7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</row>
    <row r="281">
      <c r="A281" s="68"/>
      <c r="B281" s="68"/>
      <c r="C281" s="68"/>
      <c r="D281" s="7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</row>
    <row r="282">
      <c r="A282" s="68"/>
      <c r="B282" s="68"/>
      <c r="C282" s="68"/>
      <c r="D282" s="7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</row>
    <row r="283">
      <c r="A283" s="68"/>
      <c r="B283" s="68"/>
      <c r="C283" s="68"/>
      <c r="D283" s="7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</row>
    <row r="284">
      <c r="A284" s="68"/>
      <c r="B284" s="68"/>
      <c r="C284" s="68"/>
      <c r="D284" s="7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</row>
    <row r="285">
      <c r="A285" s="68"/>
      <c r="B285" s="68"/>
      <c r="C285" s="68"/>
      <c r="D285" s="7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</row>
    <row r="286">
      <c r="A286" s="68"/>
      <c r="B286" s="68"/>
      <c r="C286" s="68"/>
      <c r="D286" s="7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</row>
    <row r="287">
      <c r="A287" s="68"/>
      <c r="B287" s="68"/>
      <c r="C287" s="68"/>
      <c r="D287" s="7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</row>
    <row r="288">
      <c r="A288" s="68"/>
      <c r="B288" s="68"/>
      <c r="C288" s="68"/>
      <c r="D288" s="7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</row>
    <row r="289">
      <c r="A289" s="68"/>
      <c r="B289" s="68"/>
      <c r="C289" s="68"/>
      <c r="D289" s="7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</row>
    <row r="290">
      <c r="A290" s="68"/>
      <c r="B290" s="68"/>
      <c r="C290" s="68"/>
      <c r="D290" s="7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</row>
    <row r="291">
      <c r="A291" s="68"/>
      <c r="B291" s="68"/>
      <c r="C291" s="68"/>
      <c r="D291" s="7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</row>
    <row r="292">
      <c r="A292" s="68"/>
      <c r="B292" s="68"/>
      <c r="C292" s="68"/>
      <c r="D292" s="7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</row>
    <row r="293">
      <c r="A293" s="68"/>
      <c r="B293" s="68"/>
      <c r="C293" s="68"/>
      <c r="D293" s="7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</row>
    <row r="295">
      <c r="A295" s="68"/>
      <c r="B295" s="68"/>
      <c r="C295" s="68"/>
      <c r="D295" s="7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</row>
    <row r="296">
      <c r="A296" s="68"/>
      <c r="B296" s="68"/>
      <c r="C296" s="68"/>
      <c r="D296" s="7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</row>
    <row r="297">
      <c r="A297" s="68"/>
      <c r="B297" s="68"/>
      <c r="C297" s="68"/>
      <c r="D297" s="7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</row>
    <row r="302">
      <c r="A302" s="68"/>
      <c r="B302" s="68"/>
      <c r="C302" s="68"/>
      <c r="D302" s="7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</row>
    <row r="307">
      <c r="A307" s="68"/>
      <c r="B307" s="68"/>
      <c r="C307" s="68"/>
      <c r="D307" s="7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</row>
    <row r="308">
      <c r="A308" s="68"/>
      <c r="B308" s="68"/>
      <c r="C308" s="68"/>
      <c r="D308" s="7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</row>
    <row r="321">
      <c r="A321" s="68"/>
      <c r="B321" s="68"/>
      <c r="C321" s="68"/>
      <c r="D321" s="7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</row>
    <row r="322">
      <c r="A322" s="68"/>
      <c r="B322" s="68"/>
      <c r="C322" s="68"/>
      <c r="D322" s="7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</row>
    <row r="323">
      <c r="A323" s="68"/>
      <c r="B323" s="68"/>
      <c r="C323" s="68"/>
      <c r="D323" s="7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</row>
    <row r="324">
      <c r="A324" s="68"/>
      <c r="B324" s="68"/>
      <c r="C324" s="68"/>
      <c r="D324" s="7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</row>
    <row r="328">
      <c r="A328" s="68"/>
      <c r="B328" s="68"/>
      <c r="C328" s="68"/>
      <c r="D328" s="7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</row>
    <row r="329">
      <c r="A329" s="68"/>
      <c r="B329" s="68"/>
      <c r="C329" s="68"/>
      <c r="D329" s="7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</row>
    <row r="333">
      <c r="A333" s="68"/>
      <c r="B333" s="68"/>
      <c r="C333" s="68"/>
      <c r="D333" s="7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</row>
    <row r="338">
      <c r="A338" s="68"/>
      <c r="B338" s="68"/>
      <c r="C338" s="68"/>
      <c r="D338" s="7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</row>
    <row r="339">
      <c r="A339" s="68"/>
      <c r="B339" s="68"/>
      <c r="C339" s="68"/>
      <c r="D339" s="7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</row>
    <row r="340">
      <c r="A340" s="68"/>
      <c r="B340" s="68"/>
      <c r="C340" s="68"/>
      <c r="D340" s="7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</row>
    <row r="341">
      <c r="A341" s="68"/>
      <c r="B341" s="68"/>
      <c r="C341" s="68"/>
      <c r="D341" s="7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</row>
    <row r="342">
      <c r="A342" s="68"/>
      <c r="B342" s="68"/>
      <c r="C342" s="68"/>
      <c r="D342" s="7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</row>
    <row r="343">
      <c r="A343" s="68"/>
      <c r="B343" s="68"/>
      <c r="C343" s="68"/>
      <c r="D343" s="7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</row>
    <row r="345">
      <c r="A345" s="68"/>
      <c r="B345" s="68"/>
      <c r="C345" s="68"/>
      <c r="D345" s="7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</row>
    <row r="357">
      <c r="A357" s="68"/>
      <c r="B357" s="68"/>
      <c r="C357" s="68"/>
      <c r="D357" s="7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</row>
    <row r="365">
      <c r="A365" s="68"/>
      <c r="B365" s="68"/>
      <c r="C365" s="68"/>
      <c r="D365" s="7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</row>
    <row r="368">
      <c r="A368" s="68"/>
      <c r="B368" s="68"/>
      <c r="C368" s="68"/>
      <c r="D368" s="7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</row>
    <row r="371">
      <c r="A371" s="68"/>
      <c r="B371" s="68"/>
      <c r="C371" s="68"/>
      <c r="D371" s="7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</row>
    <row r="374">
      <c r="A374" s="68"/>
      <c r="B374" s="68"/>
      <c r="C374" s="68"/>
      <c r="D374" s="7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</row>
    <row r="382">
      <c r="A382" s="68"/>
      <c r="B382" s="68"/>
      <c r="C382" s="68"/>
      <c r="D382" s="7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</row>
    <row r="383">
      <c r="A383" s="68"/>
      <c r="B383" s="68"/>
      <c r="C383" s="68"/>
      <c r="D383" s="7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</row>
    <row r="386">
      <c r="A386" s="68"/>
      <c r="B386" s="68"/>
      <c r="C386" s="68"/>
      <c r="D386" s="7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</row>
    <row r="390">
      <c r="A390" s="68"/>
      <c r="B390" s="68"/>
      <c r="C390" s="68"/>
      <c r="D390" s="7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</row>
    <row r="393">
      <c r="A393" s="68"/>
      <c r="B393" s="68"/>
      <c r="C393" s="68"/>
      <c r="D393" s="7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</row>
    <row r="394">
      <c r="A394" s="68"/>
      <c r="B394" s="68"/>
      <c r="C394" s="68"/>
      <c r="D394" s="7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</row>
    <row r="395">
      <c r="A395" s="68"/>
      <c r="B395" s="68"/>
      <c r="C395" s="68"/>
      <c r="D395" s="7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</row>
    <row r="396">
      <c r="A396" s="68"/>
      <c r="B396" s="68"/>
      <c r="C396" s="68"/>
      <c r="D396" s="7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</row>
    <row r="397">
      <c r="A397" s="68"/>
      <c r="B397" s="68"/>
      <c r="C397" s="68"/>
      <c r="D397" s="7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</row>
    <row r="404">
      <c r="A404" s="68"/>
      <c r="B404" s="68"/>
      <c r="C404" s="68"/>
      <c r="D404" s="7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</row>
    <row r="405">
      <c r="A405" s="68"/>
      <c r="B405" s="68"/>
      <c r="C405" s="68"/>
      <c r="D405" s="7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</row>
    <row r="407">
      <c r="A407" s="68"/>
      <c r="B407" s="68"/>
      <c r="C407" s="68"/>
      <c r="D407" s="7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</row>
    <row r="408">
      <c r="A408" s="68"/>
      <c r="B408" s="68"/>
      <c r="C408" s="68"/>
      <c r="D408" s="7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</row>
    <row r="415">
      <c r="A415" s="68"/>
      <c r="B415" s="68"/>
      <c r="C415" s="68"/>
      <c r="D415" s="7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</row>
    <row r="416">
      <c r="A416" s="68"/>
      <c r="B416" s="68"/>
      <c r="C416" s="68"/>
      <c r="D416" s="7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</row>
    <row r="417">
      <c r="A417" s="68"/>
      <c r="B417" s="68"/>
      <c r="C417" s="68"/>
      <c r="D417" s="7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</row>
    <row r="418">
      <c r="A418" s="68"/>
      <c r="B418" s="68"/>
      <c r="C418" s="68"/>
      <c r="D418" s="7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</row>
    <row r="423">
      <c r="A423" s="68"/>
      <c r="B423" s="68"/>
      <c r="C423" s="68"/>
      <c r="D423" s="7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</row>
    <row r="425">
      <c r="A425" s="68"/>
      <c r="B425" s="68"/>
      <c r="C425" s="68"/>
      <c r="D425" s="7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</row>
    <row r="426">
      <c r="A426" s="68"/>
      <c r="B426" s="68"/>
      <c r="C426" s="68"/>
      <c r="D426" s="7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</row>
    <row r="446">
      <c r="A446" s="68"/>
      <c r="B446" s="68"/>
      <c r="C446" s="68"/>
      <c r="D446" s="7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</row>
    <row r="447">
      <c r="A447" s="68"/>
      <c r="B447" s="68"/>
      <c r="C447" s="68"/>
      <c r="D447" s="7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</row>
    <row r="448">
      <c r="A448" s="68"/>
      <c r="B448" s="68"/>
      <c r="C448" s="68"/>
      <c r="D448" s="7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</row>
    <row r="449">
      <c r="A449" s="68"/>
      <c r="B449" s="68"/>
      <c r="C449" s="68"/>
      <c r="D449" s="7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</row>
    <row r="450">
      <c r="A450" s="68"/>
      <c r="B450" s="68"/>
      <c r="C450" s="68"/>
      <c r="D450" s="7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</row>
    <row r="451">
      <c r="A451" s="68"/>
      <c r="B451" s="68"/>
      <c r="C451" s="68"/>
      <c r="D451" s="7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</row>
    <row r="452">
      <c r="A452" s="68"/>
      <c r="B452" s="68"/>
      <c r="C452" s="68"/>
      <c r="D452" s="7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</row>
    <row r="453">
      <c r="A453" s="68"/>
      <c r="B453" s="68"/>
      <c r="C453" s="68"/>
      <c r="D453" s="7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</row>
    <row r="454">
      <c r="A454" s="68"/>
      <c r="B454" s="68"/>
      <c r="C454" s="68"/>
      <c r="D454" s="7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</row>
    <row r="455">
      <c r="A455" s="68"/>
      <c r="B455" s="68"/>
      <c r="C455" s="68"/>
      <c r="D455" s="7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</row>
    <row r="459">
      <c r="A459" s="68"/>
      <c r="B459" s="68"/>
      <c r="C459" s="68"/>
      <c r="D459" s="7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</row>
    <row r="460">
      <c r="A460" s="68"/>
      <c r="B460" s="68"/>
      <c r="C460" s="68"/>
      <c r="D460" s="7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</row>
    <row r="461">
      <c r="A461" s="68"/>
      <c r="B461" s="68"/>
      <c r="C461" s="68"/>
      <c r="D461" s="7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</row>
    <row r="462">
      <c r="A462" s="68"/>
      <c r="B462" s="68"/>
      <c r="C462" s="68"/>
      <c r="D462" s="7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</row>
    <row r="463">
      <c r="A463" s="68"/>
      <c r="B463" s="68"/>
      <c r="C463" s="68"/>
      <c r="D463" s="7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</row>
    <row r="464">
      <c r="A464" s="68"/>
      <c r="B464" s="68"/>
      <c r="C464" s="68"/>
      <c r="D464" s="7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</row>
    <row r="470">
      <c r="A470" s="68"/>
      <c r="B470" s="68"/>
      <c r="C470" s="68"/>
      <c r="D470" s="7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</row>
    <row r="471">
      <c r="A471" s="68"/>
      <c r="B471" s="68"/>
      <c r="C471" s="68"/>
      <c r="D471" s="7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</row>
    <row r="472">
      <c r="A472" s="68"/>
      <c r="B472" s="68"/>
      <c r="C472" s="68"/>
      <c r="D472" s="7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</row>
    <row r="473">
      <c r="A473" s="68"/>
      <c r="B473" s="68"/>
      <c r="C473" s="68"/>
      <c r="D473" s="7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</row>
    <row r="474">
      <c r="A474" s="68"/>
      <c r="B474" s="68"/>
      <c r="C474" s="68"/>
      <c r="D474" s="7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</row>
    <row r="475">
      <c r="A475" s="68"/>
      <c r="B475" s="68"/>
      <c r="C475" s="68"/>
      <c r="D475" s="7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</row>
    <row r="476">
      <c r="A476" s="68"/>
      <c r="B476" s="68"/>
      <c r="C476" s="68"/>
      <c r="D476" s="7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</row>
    <row r="477">
      <c r="A477" s="68"/>
      <c r="B477" s="68"/>
      <c r="C477" s="68"/>
      <c r="D477" s="7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</row>
    <row r="478">
      <c r="A478" s="68"/>
      <c r="B478" s="68"/>
      <c r="C478" s="68"/>
      <c r="D478" s="7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</row>
    <row r="479">
      <c r="A479" s="68"/>
      <c r="B479" s="68"/>
      <c r="C479" s="68"/>
      <c r="D479" s="7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</row>
    <row r="480">
      <c r="A480" s="68"/>
      <c r="B480" s="68"/>
      <c r="C480" s="68"/>
      <c r="D480" s="7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</row>
    <row r="481">
      <c r="A481" s="68"/>
      <c r="B481" s="68"/>
      <c r="C481" s="68"/>
      <c r="D481" s="7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</row>
    <row r="482">
      <c r="A482" s="68"/>
      <c r="B482" s="68"/>
      <c r="C482" s="68"/>
      <c r="D482" s="7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</row>
    <row r="483">
      <c r="A483" s="68"/>
      <c r="B483" s="68"/>
      <c r="C483" s="68"/>
      <c r="D483" s="7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</row>
    <row r="486">
      <c r="A486" s="68"/>
      <c r="B486" s="68"/>
      <c r="C486" s="68"/>
      <c r="D486" s="7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</row>
    <row r="488">
      <c r="A488" s="68"/>
      <c r="B488" s="68"/>
      <c r="C488" s="68"/>
      <c r="D488" s="7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</row>
    <row r="489">
      <c r="A489" s="68"/>
      <c r="B489" s="68"/>
      <c r="C489" s="68"/>
      <c r="D489" s="7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</row>
    <row r="490">
      <c r="A490" s="68"/>
      <c r="B490" s="68"/>
      <c r="C490" s="68"/>
      <c r="D490" s="7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</row>
    <row r="492">
      <c r="A492" s="68"/>
      <c r="B492" s="68"/>
      <c r="C492" s="68"/>
      <c r="D492" s="7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</row>
    <row r="493">
      <c r="A493" s="68"/>
      <c r="B493" s="68"/>
      <c r="C493" s="68"/>
      <c r="D493" s="7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</row>
    <row r="494">
      <c r="A494" s="68"/>
      <c r="B494" s="68"/>
      <c r="C494" s="68"/>
      <c r="D494" s="7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</row>
    <row r="509">
      <c r="A509" s="68"/>
      <c r="B509" s="68"/>
      <c r="C509" s="68"/>
      <c r="D509" s="7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</row>
    <row r="510">
      <c r="A510" s="68"/>
      <c r="B510" s="68"/>
      <c r="C510" s="68"/>
      <c r="D510" s="7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</row>
    <row r="511">
      <c r="A511" s="68"/>
      <c r="B511" s="68"/>
      <c r="C511" s="68"/>
      <c r="D511" s="7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</row>
    <row r="512">
      <c r="A512" s="68"/>
      <c r="B512" s="68"/>
      <c r="C512" s="68"/>
      <c r="D512" s="7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</row>
    <row r="516">
      <c r="A516" s="68"/>
      <c r="B516" s="68"/>
      <c r="C516" s="68"/>
      <c r="D516" s="7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</row>
    <row r="518">
      <c r="A518" s="68"/>
      <c r="B518" s="68"/>
      <c r="C518" s="68"/>
      <c r="D518" s="7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</row>
    <row r="519">
      <c r="A519" s="68"/>
      <c r="B519" s="68"/>
      <c r="C519" s="68"/>
      <c r="D519" s="7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</row>
    <row r="520">
      <c r="A520" s="68"/>
      <c r="B520" s="68"/>
      <c r="C520" s="68"/>
      <c r="D520" s="7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</row>
    <row r="521">
      <c r="A521" s="68"/>
      <c r="B521" s="68"/>
      <c r="C521" s="68"/>
      <c r="D521" s="7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</row>
    <row r="522">
      <c r="A522" s="68"/>
      <c r="B522" s="68"/>
      <c r="C522" s="68"/>
      <c r="D522" s="7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</row>
    <row r="523">
      <c r="A523" s="68"/>
      <c r="B523" s="68"/>
      <c r="C523" s="68"/>
      <c r="D523" s="7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</row>
    <row r="524">
      <c r="A524" s="68"/>
      <c r="B524" s="68"/>
      <c r="C524" s="68"/>
      <c r="D524" s="7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</row>
    <row r="525">
      <c r="A525" s="68"/>
      <c r="B525" s="68"/>
      <c r="C525" s="68"/>
      <c r="D525" s="7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</row>
    <row r="527">
      <c r="A527" s="68"/>
      <c r="B527" s="68"/>
      <c r="C527" s="68"/>
      <c r="D527" s="7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</row>
    <row r="534">
      <c r="A534" s="68"/>
      <c r="B534" s="68"/>
      <c r="C534" s="68"/>
      <c r="D534" s="7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</row>
    <row r="535">
      <c r="A535" s="68"/>
      <c r="B535" s="68"/>
      <c r="C535" s="68"/>
      <c r="D535" s="7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</row>
    <row r="536">
      <c r="A536" s="68"/>
      <c r="B536" s="68"/>
      <c r="C536" s="68"/>
      <c r="D536" s="7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</row>
    <row r="537">
      <c r="A537" s="68"/>
      <c r="B537" s="68"/>
      <c r="C537" s="68"/>
      <c r="D537" s="7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</row>
    <row r="538">
      <c r="A538" s="68"/>
      <c r="B538" s="68"/>
      <c r="C538" s="68"/>
      <c r="D538" s="7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</row>
    <row r="540">
      <c r="A540" s="68"/>
      <c r="B540" s="68"/>
      <c r="C540" s="68"/>
      <c r="D540" s="7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</row>
    <row r="541">
      <c r="A541" s="68"/>
      <c r="B541" s="68"/>
      <c r="C541" s="68"/>
      <c r="D541" s="7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</row>
    <row r="542">
      <c r="A542" s="68"/>
      <c r="B542" s="68"/>
      <c r="C542" s="68"/>
      <c r="D542" s="7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</row>
    <row r="543">
      <c r="A543" s="68"/>
      <c r="B543" s="68"/>
      <c r="C543" s="68"/>
      <c r="D543" s="7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</row>
    <row r="544">
      <c r="A544" s="68"/>
      <c r="B544" s="68"/>
      <c r="C544" s="68"/>
      <c r="D544" s="7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</row>
    <row r="545">
      <c r="A545" s="68"/>
      <c r="B545" s="68"/>
      <c r="C545" s="68"/>
      <c r="D545" s="7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</row>
    <row r="546">
      <c r="A546" s="68"/>
      <c r="B546" s="68"/>
      <c r="C546" s="68"/>
      <c r="D546" s="7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</row>
    <row r="547">
      <c r="A547" s="68"/>
      <c r="B547" s="68"/>
      <c r="C547" s="68"/>
      <c r="D547" s="7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</row>
    <row r="549">
      <c r="A549" s="68"/>
      <c r="B549" s="68"/>
      <c r="C549" s="68"/>
      <c r="D549" s="7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</row>
    <row r="551">
      <c r="A551" s="68"/>
      <c r="B551" s="68"/>
      <c r="C551" s="68"/>
      <c r="D551" s="7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</row>
    <row r="552">
      <c r="A552" s="68"/>
      <c r="B552" s="68"/>
      <c r="C552" s="68"/>
      <c r="D552" s="7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</row>
    <row r="553">
      <c r="A553" s="68"/>
      <c r="B553" s="68"/>
      <c r="C553" s="68"/>
      <c r="D553" s="7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</row>
    <row r="555">
      <c r="A555" s="68"/>
      <c r="B555" s="68"/>
      <c r="C555" s="68"/>
      <c r="D555" s="7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</row>
    <row r="556">
      <c r="A556" s="68"/>
      <c r="B556" s="68"/>
      <c r="C556" s="68"/>
      <c r="D556" s="7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</row>
    <row r="564">
      <c r="A564" s="68"/>
      <c r="B564" s="68"/>
      <c r="C564" s="68"/>
      <c r="D564" s="7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</row>
    <row r="565">
      <c r="A565" s="68"/>
      <c r="B565" s="68"/>
      <c r="C565" s="68"/>
      <c r="D565" s="7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</row>
    <row r="566">
      <c r="A566" s="68"/>
      <c r="B566" s="68"/>
      <c r="C566" s="68"/>
      <c r="D566" s="7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</row>
    <row r="570">
      <c r="A570" s="68"/>
      <c r="B570" s="68"/>
      <c r="C570" s="68"/>
      <c r="D570" s="7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</row>
    <row r="571">
      <c r="A571" s="68"/>
      <c r="B571" s="68"/>
      <c r="C571" s="68"/>
      <c r="D571" s="7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</row>
    <row r="579">
      <c r="A579" s="68"/>
      <c r="B579" s="68"/>
      <c r="C579" s="68"/>
      <c r="D579" s="7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</row>
    <row r="583">
      <c r="A583" s="68"/>
      <c r="B583" s="68"/>
      <c r="C583" s="68"/>
      <c r="D583" s="7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</row>
    <row r="589">
      <c r="A589" s="68"/>
      <c r="B589" s="68"/>
      <c r="C589" s="68"/>
      <c r="D589" s="7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</row>
    <row r="593">
      <c r="A593" s="68"/>
      <c r="B593" s="68"/>
      <c r="C593" s="68"/>
      <c r="D593" s="7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</row>
    <row r="594">
      <c r="A594" s="68"/>
      <c r="B594" s="68"/>
      <c r="C594" s="68"/>
      <c r="D594" s="7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</row>
    <row r="595">
      <c r="A595" s="68"/>
      <c r="B595" s="68"/>
      <c r="C595" s="68"/>
      <c r="D595" s="7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</row>
    <row r="597">
      <c r="A597" s="68"/>
      <c r="B597" s="68"/>
      <c r="C597" s="68"/>
      <c r="D597" s="7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</row>
    <row r="598">
      <c r="A598" s="68"/>
      <c r="B598" s="68"/>
      <c r="C598" s="68"/>
      <c r="D598" s="7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</row>
    <row r="600">
      <c r="A600" s="68"/>
      <c r="B600" s="68"/>
      <c r="C600" s="68"/>
      <c r="D600" s="7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</row>
    <row r="601">
      <c r="A601" s="68"/>
      <c r="B601" s="68"/>
      <c r="C601" s="68"/>
      <c r="D601" s="7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</row>
    <row r="607">
      <c r="A607" s="68"/>
      <c r="B607" s="68"/>
      <c r="C607" s="68"/>
      <c r="D607" s="7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</row>
    <row r="609">
      <c r="A609" s="68"/>
      <c r="B609" s="68"/>
      <c r="C609" s="68"/>
      <c r="D609" s="7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</row>
    <row r="610">
      <c r="A610" s="68"/>
      <c r="B610" s="68"/>
      <c r="C610" s="68"/>
      <c r="D610" s="7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</row>
    <row r="611">
      <c r="A611" s="68"/>
      <c r="B611" s="68"/>
      <c r="C611" s="68"/>
      <c r="D611" s="7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</row>
    <row r="612">
      <c r="A612" s="68"/>
      <c r="B612" s="68"/>
      <c r="C612" s="68"/>
      <c r="D612" s="7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</row>
    <row r="613">
      <c r="A613" s="68"/>
      <c r="B613" s="68"/>
      <c r="C613" s="68"/>
      <c r="D613" s="7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</row>
    <row r="614">
      <c r="A614" s="68"/>
      <c r="B614" s="68"/>
      <c r="C614" s="68"/>
      <c r="D614" s="7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</row>
    <row r="615">
      <c r="A615" s="68"/>
      <c r="B615" s="68"/>
      <c r="C615" s="68"/>
      <c r="D615" s="7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</row>
    <row r="616">
      <c r="A616" s="68"/>
      <c r="B616" s="68"/>
      <c r="C616" s="68"/>
      <c r="D616" s="7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</row>
    <row r="617">
      <c r="A617" s="68"/>
      <c r="B617" s="68"/>
      <c r="C617" s="68"/>
      <c r="D617" s="7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</row>
    <row r="619">
      <c r="A619" s="68"/>
      <c r="B619" s="68"/>
      <c r="C619" s="68"/>
      <c r="D619" s="7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</row>
    <row r="620">
      <c r="A620" s="68"/>
      <c r="B620" s="68"/>
      <c r="C620" s="68"/>
      <c r="D620" s="7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</row>
    <row r="621">
      <c r="A621" s="68"/>
      <c r="B621" s="68"/>
      <c r="C621" s="68"/>
      <c r="D621" s="7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</row>
    <row r="622">
      <c r="A622" s="68"/>
      <c r="B622" s="68"/>
      <c r="C622" s="68"/>
      <c r="D622" s="7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</row>
    <row r="623">
      <c r="A623" s="68"/>
      <c r="B623" s="68"/>
      <c r="C623" s="68"/>
      <c r="D623" s="7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</row>
    <row r="625">
      <c r="A625" s="68"/>
      <c r="B625" s="68"/>
      <c r="C625" s="68"/>
      <c r="D625" s="7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</row>
    <row r="626">
      <c r="A626" s="68"/>
      <c r="B626" s="68"/>
      <c r="C626" s="68"/>
      <c r="D626" s="7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</row>
    <row r="627">
      <c r="A627" s="68"/>
      <c r="B627" s="68"/>
      <c r="C627" s="68"/>
      <c r="D627" s="7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</row>
    <row r="629">
      <c r="A629" s="68"/>
      <c r="B629" s="68"/>
      <c r="C629" s="68"/>
      <c r="D629" s="7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</row>
    <row r="630">
      <c r="A630" s="68"/>
      <c r="B630" s="68"/>
      <c r="C630" s="68"/>
      <c r="D630" s="7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</row>
    <row r="631">
      <c r="A631" s="68"/>
      <c r="B631" s="68"/>
      <c r="C631" s="68"/>
      <c r="D631" s="7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</row>
    <row r="632">
      <c r="A632" s="68"/>
      <c r="B632" s="68"/>
      <c r="C632" s="68"/>
      <c r="D632" s="7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</row>
    <row r="633">
      <c r="A633" s="68"/>
      <c r="B633" s="68"/>
      <c r="C633" s="68"/>
      <c r="D633" s="7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</row>
    <row r="634">
      <c r="A634" s="68"/>
      <c r="B634" s="68"/>
      <c r="C634" s="68"/>
      <c r="D634" s="7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</row>
    <row r="635">
      <c r="A635" s="68"/>
      <c r="B635" s="68"/>
      <c r="C635" s="68"/>
      <c r="D635" s="7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</row>
    <row r="636">
      <c r="A636" s="68"/>
      <c r="B636" s="68"/>
      <c r="C636" s="68"/>
      <c r="D636" s="7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</row>
    <row r="637">
      <c r="A637" s="68"/>
      <c r="B637" s="68"/>
      <c r="C637" s="68"/>
      <c r="D637" s="7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</row>
    <row r="638">
      <c r="A638" s="68"/>
      <c r="B638" s="68"/>
      <c r="C638" s="68"/>
      <c r="D638" s="7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</row>
    <row r="639">
      <c r="A639" s="68"/>
      <c r="B639" s="68"/>
      <c r="C639" s="68"/>
      <c r="D639" s="7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</row>
    <row r="640">
      <c r="A640" s="68"/>
      <c r="B640" s="68"/>
      <c r="C640" s="68"/>
      <c r="D640" s="7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</row>
    <row r="641">
      <c r="A641" s="68"/>
      <c r="B641" s="68"/>
      <c r="C641" s="68"/>
      <c r="D641" s="7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</row>
    <row r="642">
      <c r="A642" s="68"/>
      <c r="B642" s="68"/>
      <c r="C642" s="68"/>
      <c r="D642" s="7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</row>
    <row r="643">
      <c r="A643" s="68"/>
      <c r="B643" s="68"/>
      <c r="C643" s="68"/>
      <c r="D643" s="7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</row>
    <row r="644">
      <c r="A644" s="68"/>
      <c r="B644" s="68"/>
      <c r="C644" s="68"/>
      <c r="D644" s="7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</row>
    <row r="645">
      <c r="A645" s="68"/>
      <c r="B645" s="68"/>
      <c r="C645" s="68"/>
      <c r="D645" s="7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</row>
    <row r="646">
      <c r="A646" s="68"/>
      <c r="B646" s="68"/>
      <c r="C646" s="68"/>
      <c r="D646" s="7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</row>
    <row r="647">
      <c r="A647" s="68"/>
      <c r="B647" s="68"/>
      <c r="C647" s="68"/>
      <c r="D647" s="7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</row>
    <row r="648">
      <c r="A648" s="68"/>
      <c r="B648" s="68"/>
      <c r="C648" s="68"/>
      <c r="D648" s="7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</row>
    <row r="649">
      <c r="A649" s="68"/>
      <c r="B649" s="68"/>
      <c r="C649" s="68"/>
      <c r="D649" s="7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</row>
    <row r="650">
      <c r="A650" s="68"/>
      <c r="B650" s="68"/>
      <c r="C650" s="68"/>
      <c r="D650" s="7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</row>
    <row r="651">
      <c r="A651" s="68"/>
      <c r="B651" s="68"/>
      <c r="C651" s="68"/>
      <c r="D651" s="7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</row>
    <row r="652">
      <c r="A652" s="68"/>
      <c r="B652" s="68"/>
      <c r="C652" s="68"/>
      <c r="D652" s="7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</row>
    <row r="653">
      <c r="A653" s="68"/>
      <c r="B653" s="68"/>
      <c r="C653" s="68"/>
      <c r="D653" s="7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</row>
    <row r="654">
      <c r="A654" s="68"/>
      <c r="B654" s="68"/>
      <c r="C654" s="68"/>
      <c r="D654" s="7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</row>
    <row r="655">
      <c r="A655" s="68"/>
      <c r="B655" s="68"/>
      <c r="C655" s="68"/>
      <c r="D655" s="7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</row>
    <row r="656">
      <c r="A656" s="68"/>
      <c r="B656" s="68"/>
      <c r="C656" s="68"/>
      <c r="D656" s="7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</row>
    <row r="657">
      <c r="A657" s="52"/>
      <c r="B657" s="52"/>
      <c r="C657" s="52"/>
      <c r="D657" s="79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</row>
    <row r="658">
      <c r="A658" s="52"/>
      <c r="B658" s="52"/>
      <c r="C658" s="52"/>
      <c r="D658" s="79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</row>
    <row r="659">
      <c r="A659" s="52"/>
      <c r="B659" s="52"/>
      <c r="C659" s="52"/>
      <c r="D659" s="79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</row>
    <row r="660">
      <c r="A660" s="52"/>
      <c r="B660" s="52"/>
      <c r="C660" s="52"/>
      <c r="D660" s="79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</row>
    <row r="663">
      <c r="A663" s="52"/>
      <c r="B663" s="52"/>
      <c r="C663" s="52"/>
      <c r="D663" s="79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</row>
    <row r="664">
      <c r="A664" s="52"/>
      <c r="B664" s="52"/>
      <c r="C664" s="52"/>
      <c r="D664" s="79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</row>
    <row r="665">
      <c r="A665" s="52"/>
      <c r="B665" s="52"/>
      <c r="C665" s="52"/>
      <c r="D665" s="79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</row>
    <row r="666">
      <c r="A666" s="52"/>
      <c r="B666" s="52"/>
      <c r="C666" s="52"/>
      <c r="D666" s="79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</row>
    <row r="667">
      <c r="A667" s="52"/>
      <c r="B667" s="52"/>
      <c r="C667" s="52"/>
      <c r="D667" s="79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</row>
    <row r="673">
      <c r="A673" s="52"/>
      <c r="B673" s="52"/>
      <c r="C673" s="52"/>
      <c r="D673" s="79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</row>
    <row r="674">
      <c r="A674" s="52"/>
      <c r="B674" s="52"/>
      <c r="C674" s="52"/>
      <c r="D674" s="79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</row>
    <row r="675">
      <c r="A675" s="52"/>
      <c r="B675" s="52"/>
      <c r="C675" s="52"/>
      <c r="D675" s="79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</row>
    <row r="676">
      <c r="A676" s="52"/>
      <c r="B676" s="52"/>
      <c r="C676" s="52"/>
      <c r="D676" s="79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</row>
    <row r="680">
      <c r="A680" s="52"/>
      <c r="B680" s="52"/>
      <c r="C680" s="52"/>
      <c r="D680" s="79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</row>
    <row r="681">
      <c r="A681" s="52"/>
      <c r="B681" s="52"/>
      <c r="C681" s="52"/>
      <c r="D681" s="79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</row>
    <row r="682">
      <c r="A682" s="52"/>
      <c r="B682" s="52"/>
      <c r="C682" s="52"/>
      <c r="D682" s="79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</row>
    <row r="683">
      <c r="A683" s="52"/>
      <c r="B683" s="52"/>
      <c r="C683" s="52"/>
      <c r="D683" s="79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</row>
    <row r="684">
      <c r="A684" s="52"/>
      <c r="B684" s="52"/>
      <c r="C684" s="52"/>
      <c r="D684" s="79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</row>
    <row r="685">
      <c r="A685" s="52"/>
      <c r="B685" s="52"/>
      <c r="C685" s="52"/>
      <c r="D685" s="79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</row>
  </sheetData>
  <dataValidations>
    <dataValidation type="list" allowBlank="1" sqref="B5">
      <formula1>'Kõik kokku'!$B$2:$B$672</formula1>
    </dataValidation>
    <dataValidation type="list" allowBlank="1" sqref="B7">
      <formula1>'Kõik kokku'!$J$2:$J$672</formula1>
    </dataValidation>
    <dataValidation type="list" allowBlank="1" sqref="B6">
      <formula1>'Kõik kokku'!$C$2:$C$672</formula1>
    </dataValidation>
    <dataValidation type="list" allowBlank="1" sqref="B8">
      <formula1>'Kõik kokku'!$V$2:$V$672</formula1>
    </dataValidation>
  </dataValidations>
  <hyperlinks>
    <hyperlink r:id="rId1" ref="D15"/>
    <hyperlink r:id="rId2" ref="D16"/>
    <hyperlink r:id="rId3" ref="D17"/>
    <hyperlink r:id="rId4" ref="D18"/>
    <hyperlink r:id="rId5" ref="D19"/>
    <hyperlink r:id="rId6" ref="D20"/>
    <hyperlink r:id="rId7" ref="D21"/>
    <hyperlink r:id="rId8" ref="D22"/>
    <hyperlink r:id="rId9" ref="D23"/>
    <hyperlink r:id="rId10" ref="D24"/>
    <hyperlink r:id="rId11" ref="D25"/>
    <hyperlink r:id="rId12" ref="D26"/>
    <hyperlink r:id="rId13" ref="D27"/>
    <hyperlink r:id="rId14" ref="D28"/>
    <hyperlink r:id="rId15" ref="D30"/>
    <hyperlink r:id="rId16" ref="D31"/>
    <hyperlink r:id="rId17" ref="D32"/>
    <hyperlink r:id="rId18" ref="D33"/>
    <hyperlink r:id="rId19" ref="D34"/>
    <hyperlink r:id="rId20" ref="D35"/>
    <hyperlink r:id="rId21" ref="D36"/>
    <hyperlink r:id="rId22" ref="D37"/>
    <hyperlink r:id="rId23" ref="D38"/>
    <hyperlink r:id="rId24" ref="D39"/>
    <hyperlink r:id="rId25" ref="D40"/>
    <hyperlink r:id="rId26" ref="D41"/>
    <hyperlink r:id="rId27" ref="D42"/>
    <hyperlink r:id="rId28" ref="D43"/>
    <hyperlink r:id="rId29" ref="D44"/>
    <hyperlink r:id="rId30" ref="D45"/>
    <hyperlink r:id="rId31" ref="D46"/>
    <hyperlink r:id="rId32" ref="D47"/>
    <hyperlink r:id="rId33" ref="D48"/>
    <hyperlink r:id="rId34" ref="D49"/>
    <hyperlink r:id="rId35" ref="D50"/>
    <hyperlink r:id="rId36" ref="D51"/>
    <hyperlink r:id="rId37" ref="D52"/>
    <hyperlink r:id="rId38" ref="D53"/>
    <hyperlink r:id="rId39" ref="D54"/>
    <hyperlink r:id="rId40" ref="D55"/>
    <hyperlink r:id="rId41" ref="D56"/>
    <hyperlink r:id="rId42" ref="D57"/>
    <hyperlink r:id="rId43" ref="D58"/>
    <hyperlink r:id="rId44" ref="D59"/>
    <hyperlink r:id="rId45" ref="D60"/>
    <hyperlink r:id="rId46" ref="D61"/>
    <hyperlink r:id="rId47" ref="D62"/>
    <hyperlink r:id="rId48" ref="D63"/>
    <hyperlink r:id="rId49" ref="D64"/>
    <hyperlink r:id="rId50" ref="D65"/>
    <hyperlink r:id="rId51" ref="D66"/>
    <hyperlink r:id="rId52" ref="D67"/>
    <hyperlink r:id="rId53" ref="D68"/>
    <hyperlink r:id="rId54" ref="D69"/>
    <hyperlink r:id="rId55" ref="D70"/>
    <hyperlink r:id="rId56" ref="D71"/>
    <hyperlink r:id="rId57" ref="D72"/>
    <hyperlink r:id="rId58" ref="D73"/>
    <hyperlink r:id="rId59" ref="D74"/>
    <hyperlink r:id="rId60" ref="D75"/>
    <hyperlink r:id="rId61" ref="D76"/>
    <hyperlink r:id="rId62" ref="D77"/>
    <hyperlink r:id="rId63" ref="D78"/>
    <hyperlink r:id="rId64" ref="D79"/>
    <hyperlink r:id="rId65" ref="D80"/>
    <hyperlink r:id="rId66" ref="D81"/>
    <hyperlink r:id="rId67" ref="D82"/>
    <hyperlink r:id="rId68" ref="D83"/>
    <hyperlink r:id="rId69" ref="D84"/>
    <hyperlink r:id="rId70" ref="D85"/>
    <hyperlink r:id="rId71" ref="D86"/>
    <hyperlink r:id="rId72" ref="D87"/>
    <hyperlink r:id="rId73" ref="D88"/>
    <hyperlink r:id="rId74" ref="D89"/>
    <hyperlink r:id="rId75" ref="D90"/>
    <hyperlink r:id="rId76" ref="D91"/>
    <hyperlink r:id="rId77" ref="D92"/>
    <hyperlink r:id="rId78" ref="D93"/>
    <hyperlink r:id="rId79" ref="D94"/>
    <hyperlink r:id="rId80" ref="D95"/>
    <hyperlink r:id="rId81" ref="D96"/>
    <hyperlink r:id="rId82" ref="D97"/>
  </hyperlinks>
  <drawing r:id="rId8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12.71"/>
    <col customWidth="1" min="3" max="3" width="15.14"/>
    <col customWidth="1" min="4" max="4" width="66.0"/>
    <col customWidth="1" min="5" max="5" width="29.14"/>
    <col customWidth="1" min="6" max="6" width="53.86"/>
    <col customWidth="1" min="7" max="7" width="30.0"/>
    <col customWidth="1" min="8" max="8" width="49.86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21.86"/>
    <col customWidth="1" min="23" max="24" width="13.0"/>
    <col customWidth="1" min="25" max="25" width="30.71"/>
  </cols>
  <sheetData>
    <row r="1">
      <c r="A1" s="80" t="s">
        <v>0</v>
      </c>
      <c r="B1" s="80" t="s">
        <v>1</v>
      </c>
      <c r="C1" s="80" t="s">
        <v>2</v>
      </c>
      <c r="D1" s="81" t="s">
        <v>3</v>
      </c>
      <c r="E1" s="80" t="s">
        <v>4</v>
      </c>
      <c r="F1" s="80" t="s">
        <v>25</v>
      </c>
      <c r="G1" s="80" t="s">
        <v>6</v>
      </c>
      <c r="H1" s="80" t="s">
        <v>7</v>
      </c>
      <c r="I1" s="80" t="s">
        <v>8</v>
      </c>
      <c r="J1" s="80" t="s">
        <v>9</v>
      </c>
      <c r="K1" s="82" t="s">
        <v>10</v>
      </c>
      <c r="L1" s="80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3" t="s">
        <v>19</v>
      </c>
      <c r="U1" s="83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32" t="s">
        <v>27</v>
      </c>
      <c r="B2" s="32" t="s">
        <v>28</v>
      </c>
      <c r="C2" s="32" t="s">
        <v>3357</v>
      </c>
      <c r="D2" s="84"/>
      <c r="E2" s="85" t="s">
        <v>3358</v>
      </c>
      <c r="F2" s="86" t="s">
        <v>31</v>
      </c>
      <c r="G2" s="85" t="s">
        <v>32</v>
      </c>
      <c r="H2" s="85" t="s">
        <v>33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5"/>
      <c r="AA2" s="5"/>
      <c r="AB2" s="5"/>
      <c r="AC2" s="5"/>
      <c r="AD2" s="5"/>
      <c r="AE2" s="5"/>
      <c r="AF2" s="5"/>
      <c r="AG2" s="5"/>
      <c r="AH2" s="5"/>
      <c r="AI2" s="5"/>
    </row>
    <row r="3">
      <c r="A3" s="32" t="s">
        <v>44</v>
      </c>
      <c r="B3" s="32" t="s">
        <v>28</v>
      </c>
      <c r="C3" s="32" t="s">
        <v>3357</v>
      </c>
      <c r="D3" s="87" t="s">
        <v>45</v>
      </c>
      <c r="E3" s="85" t="s">
        <v>3359</v>
      </c>
      <c r="F3" s="86" t="s">
        <v>47</v>
      </c>
      <c r="G3" s="85" t="s">
        <v>48</v>
      </c>
      <c r="H3" s="85" t="s">
        <v>49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 t="s">
        <v>413</v>
      </c>
      <c r="V3" s="32"/>
      <c r="W3" s="32"/>
      <c r="X3" s="32"/>
      <c r="Y3" s="32"/>
      <c r="Z3" s="5"/>
      <c r="AA3" s="5"/>
      <c r="AB3" s="5"/>
      <c r="AC3" s="5"/>
      <c r="AD3" s="5"/>
      <c r="AE3" s="5"/>
      <c r="AF3" s="5"/>
      <c r="AG3" s="5"/>
      <c r="AH3" s="5"/>
      <c r="AI3" s="5"/>
    </row>
    <row r="4">
      <c r="A4" s="32" t="s">
        <v>56</v>
      </c>
      <c r="B4" s="32" t="s">
        <v>28</v>
      </c>
      <c r="C4" s="32" t="s">
        <v>3360</v>
      </c>
      <c r="D4" s="87" t="s">
        <v>57</v>
      </c>
      <c r="E4" s="85" t="s">
        <v>3361</v>
      </c>
      <c r="F4" s="86" t="s">
        <v>59</v>
      </c>
      <c r="G4" s="85" t="s">
        <v>60</v>
      </c>
      <c r="H4" s="85" t="s">
        <v>61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s="32" t="s">
        <v>67</v>
      </c>
      <c r="B5" s="32" t="s">
        <v>28</v>
      </c>
      <c r="C5" s="32" t="s">
        <v>3357</v>
      </c>
      <c r="D5" s="87" t="s">
        <v>68</v>
      </c>
      <c r="E5" s="85" t="s">
        <v>3362</v>
      </c>
      <c r="F5" s="86" t="s">
        <v>70</v>
      </c>
      <c r="G5" s="85" t="s">
        <v>71</v>
      </c>
      <c r="H5" s="85" t="s">
        <v>72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5"/>
      <c r="AA5" s="5"/>
      <c r="AB5" s="5"/>
      <c r="AC5" s="5"/>
      <c r="AD5" s="5"/>
      <c r="AE5" s="5"/>
      <c r="AF5" s="5"/>
      <c r="AG5" s="5"/>
      <c r="AH5" s="5"/>
      <c r="AI5" s="5"/>
    </row>
    <row r="6">
      <c r="A6" s="32" t="s">
        <v>78</v>
      </c>
      <c r="B6" s="32" t="s">
        <v>28</v>
      </c>
      <c r="C6" s="32" t="s">
        <v>3363</v>
      </c>
      <c r="D6" s="87" t="s">
        <v>80</v>
      </c>
      <c r="E6" s="85" t="s">
        <v>3364</v>
      </c>
      <c r="F6" s="86" t="s">
        <v>82</v>
      </c>
      <c r="G6" s="85" t="s">
        <v>83</v>
      </c>
      <c r="H6" s="85" t="s">
        <v>84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5"/>
      <c r="AA6" s="5"/>
      <c r="AB6" s="5"/>
      <c r="AC6" s="5"/>
      <c r="AD6" s="5"/>
      <c r="AE6" s="5"/>
      <c r="AF6" s="5"/>
      <c r="AG6" s="5"/>
      <c r="AH6" s="5"/>
      <c r="AI6" s="5"/>
    </row>
    <row r="7">
      <c r="A7" s="32" t="s">
        <v>89</v>
      </c>
      <c r="B7" s="32" t="s">
        <v>28</v>
      </c>
      <c r="C7" s="32" t="s">
        <v>90</v>
      </c>
      <c r="D7" s="87" t="s">
        <v>91</v>
      </c>
      <c r="E7" s="85" t="s">
        <v>3365</v>
      </c>
      <c r="F7" s="86" t="s">
        <v>93</v>
      </c>
      <c r="G7" s="85" t="s">
        <v>94</v>
      </c>
      <c r="H7" s="85" t="s">
        <v>95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5"/>
      <c r="AA7" s="5"/>
      <c r="AB7" s="5"/>
      <c r="AC7" s="5"/>
      <c r="AD7" s="5"/>
      <c r="AE7" s="5"/>
      <c r="AF7" s="5"/>
      <c r="AG7" s="5"/>
      <c r="AH7" s="5"/>
      <c r="AI7" s="5"/>
    </row>
    <row r="8">
      <c r="A8" s="32" t="s">
        <v>96</v>
      </c>
      <c r="B8" s="32" t="s">
        <v>28</v>
      </c>
      <c r="C8" s="32" t="s">
        <v>90</v>
      </c>
      <c r="D8" s="87" t="s">
        <v>97</v>
      </c>
      <c r="E8" s="85" t="s">
        <v>3366</v>
      </c>
      <c r="F8" s="86" t="s">
        <v>99</v>
      </c>
      <c r="G8" s="85" t="s">
        <v>100</v>
      </c>
      <c r="H8" s="85" t="s">
        <v>101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5"/>
      <c r="AA8" s="5"/>
      <c r="AB8" s="5"/>
      <c r="AC8" s="5"/>
      <c r="AD8" s="5"/>
      <c r="AE8" s="5"/>
      <c r="AF8" s="5"/>
      <c r="AG8" s="5"/>
      <c r="AH8" s="5"/>
      <c r="AI8" s="5"/>
    </row>
    <row r="9">
      <c r="A9" s="32" t="s">
        <v>102</v>
      </c>
      <c r="B9" s="32" t="s">
        <v>28</v>
      </c>
      <c r="C9" s="32" t="s">
        <v>90</v>
      </c>
      <c r="D9" s="84"/>
      <c r="E9" s="32"/>
      <c r="F9" s="86" t="s">
        <v>103</v>
      </c>
      <c r="G9" s="85" t="s">
        <v>104</v>
      </c>
      <c r="H9" s="85" t="s">
        <v>105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5"/>
      <c r="AA9" s="5"/>
      <c r="AB9" s="5"/>
      <c r="AC9" s="5"/>
      <c r="AD9" s="5"/>
      <c r="AE9" s="5"/>
      <c r="AF9" s="5"/>
      <c r="AG9" s="5"/>
      <c r="AH9" s="5"/>
      <c r="AI9" s="5"/>
    </row>
    <row r="10">
      <c r="A10" s="32" t="s">
        <v>106</v>
      </c>
      <c r="B10" s="32" t="s">
        <v>28</v>
      </c>
      <c r="C10" s="32" t="s">
        <v>90</v>
      </c>
      <c r="D10" s="87" t="s">
        <v>107</v>
      </c>
      <c r="E10" s="85" t="s">
        <v>3367</v>
      </c>
      <c r="F10" s="32"/>
      <c r="G10" s="85" t="s">
        <v>109</v>
      </c>
      <c r="H10" s="85" t="s">
        <v>110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>
      <c r="A11" s="88" t="s">
        <v>3368</v>
      </c>
      <c r="B11" s="32" t="s">
        <v>28</v>
      </c>
      <c r="C11" s="32" t="s">
        <v>112</v>
      </c>
      <c r="D11" s="87" t="s">
        <v>113</v>
      </c>
      <c r="E11" s="85" t="s">
        <v>3369</v>
      </c>
      <c r="F11" s="85" t="s">
        <v>115</v>
      </c>
      <c r="G11" s="85" t="s">
        <v>116</v>
      </c>
      <c r="H11" s="85" t="s">
        <v>117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>
      <c r="A12" s="32" t="s">
        <v>118</v>
      </c>
      <c r="B12" s="32" t="s">
        <v>28</v>
      </c>
      <c r="C12" s="32" t="s">
        <v>112</v>
      </c>
      <c r="D12" s="87" t="s">
        <v>119</v>
      </c>
      <c r="E12" s="85" t="s">
        <v>3370</v>
      </c>
      <c r="F12" s="86" t="s">
        <v>121</v>
      </c>
      <c r="G12" s="85" t="s">
        <v>122</v>
      </c>
      <c r="H12" s="85" t="s">
        <v>123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s="32" t="s">
        <v>124</v>
      </c>
      <c r="B13" s="32" t="s">
        <v>28</v>
      </c>
      <c r="C13" s="32" t="s">
        <v>112</v>
      </c>
      <c r="D13" s="87" t="s">
        <v>125</v>
      </c>
      <c r="E13" s="85" t="s">
        <v>3371</v>
      </c>
      <c r="F13" s="86" t="s">
        <v>127</v>
      </c>
      <c r="G13" s="85" t="s">
        <v>128</v>
      </c>
      <c r="H13" s="85" t="s">
        <v>129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>
      <c r="A14" s="32" t="s">
        <v>130</v>
      </c>
      <c r="B14" s="32" t="s">
        <v>28</v>
      </c>
      <c r="C14" s="32" t="s">
        <v>112</v>
      </c>
      <c r="D14" s="87" t="s">
        <v>131</v>
      </c>
      <c r="E14" s="85" t="s">
        <v>3372</v>
      </c>
      <c r="F14" s="86" t="s">
        <v>133</v>
      </c>
      <c r="G14" s="85" t="s">
        <v>134</v>
      </c>
      <c r="H14" s="85" t="s">
        <v>135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A15" s="32" t="s">
        <v>136</v>
      </c>
      <c r="B15" s="32" t="s">
        <v>28</v>
      </c>
      <c r="C15" s="32" t="s">
        <v>112</v>
      </c>
      <c r="D15" s="87" t="s">
        <v>137</v>
      </c>
      <c r="E15" s="85" t="s">
        <v>3373</v>
      </c>
      <c r="F15" s="86" t="s">
        <v>139</v>
      </c>
      <c r="G15" s="85" t="s">
        <v>140</v>
      </c>
      <c r="H15" s="85" t="s">
        <v>72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32" t="s">
        <v>141</v>
      </c>
      <c r="B16" s="32" t="s">
        <v>28</v>
      </c>
      <c r="C16" s="32" t="s">
        <v>112</v>
      </c>
      <c r="D16" s="87" t="s">
        <v>142</v>
      </c>
      <c r="E16" s="85" t="s">
        <v>3374</v>
      </c>
      <c r="F16" s="86" t="s">
        <v>144</v>
      </c>
      <c r="G16" s="85" t="s">
        <v>145</v>
      </c>
      <c r="H16" s="85" t="s">
        <v>61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>
      <c r="A17" s="32" t="s">
        <v>146</v>
      </c>
      <c r="B17" s="32" t="s">
        <v>28</v>
      </c>
      <c r="C17" s="32" t="s">
        <v>112</v>
      </c>
      <c r="D17" s="87" t="s">
        <v>147</v>
      </c>
      <c r="E17" s="85" t="s">
        <v>3375</v>
      </c>
      <c r="F17" s="86" t="s">
        <v>149</v>
      </c>
      <c r="G17" s="85" t="s">
        <v>150</v>
      </c>
      <c r="H17" s="85" t="s">
        <v>84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32" t="s">
        <v>151</v>
      </c>
      <c r="B18" s="32" t="s">
        <v>28</v>
      </c>
      <c r="C18" s="32" t="s">
        <v>112</v>
      </c>
      <c r="D18" s="87" t="s">
        <v>152</v>
      </c>
      <c r="E18" s="85" t="s">
        <v>3376</v>
      </c>
      <c r="F18" s="86" t="s">
        <v>154</v>
      </c>
      <c r="G18" s="85" t="s">
        <v>155</v>
      </c>
      <c r="H18" s="85" t="s">
        <v>156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>
      <c r="A19" s="32" t="s">
        <v>157</v>
      </c>
      <c r="B19" s="32" t="s">
        <v>28</v>
      </c>
      <c r="C19" s="32" t="s">
        <v>112</v>
      </c>
      <c r="D19" s="87" t="s">
        <v>158</v>
      </c>
      <c r="E19" s="85" t="s">
        <v>3377</v>
      </c>
      <c r="F19" s="86" t="s">
        <v>160</v>
      </c>
      <c r="G19" s="85" t="s">
        <v>161</v>
      </c>
      <c r="H19" s="85" t="s">
        <v>162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>
      <c r="A20" s="32" t="s">
        <v>163</v>
      </c>
      <c r="B20" s="32" t="s">
        <v>28</v>
      </c>
      <c r="C20" s="32" t="s">
        <v>112</v>
      </c>
      <c r="D20" s="87" t="s">
        <v>164</v>
      </c>
      <c r="E20" s="85" t="s">
        <v>3378</v>
      </c>
      <c r="F20" s="86" t="s">
        <v>166</v>
      </c>
      <c r="G20" s="85" t="s">
        <v>167</v>
      </c>
      <c r="H20" s="85" t="s">
        <v>168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>
      <c r="A21" s="32" t="s">
        <v>3379</v>
      </c>
      <c r="B21" s="32" t="s">
        <v>28</v>
      </c>
      <c r="C21" s="32" t="s">
        <v>112</v>
      </c>
      <c r="D21" s="87" t="s">
        <v>170</v>
      </c>
      <c r="E21" s="85" t="s">
        <v>3380</v>
      </c>
      <c r="F21" s="86" t="s">
        <v>172</v>
      </c>
      <c r="G21" s="85" t="s">
        <v>173</v>
      </c>
      <c r="H21" s="85" t="s">
        <v>174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>
      <c r="A22" s="32" t="s">
        <v>175</v>
      </c>
      <c r="B22" s="32" t="s">
        <v>28</v>
      </c>
      <c r="C22" s="32" t="s">
        <v>3381</v>
      </c>
      <c r="D22" s="87" t="s">
        <v>176</v>
      </c>
      <c r="E22" s="85" t="s">
        <v>3382</v>
      </c>
      <c r="F22" s="86" t="s">
        <v>178</v>
      </c>
      <c r="G22" s="32" t="s">
        <v>179</v>
      </c>
      <c r="H22" s="85" t="s">
        <v>180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>
      <c r="A23" s="32" t="s">
        <v>181</v>
      </c>
      <c r="B23" s="32" t="s">
        <v>28</v>
      </c>
      <c r="C23" s="32" t="s">
        <v>3381</v>
      </c>
      <c r="D23" s="87" t="s">
        <v>182</v>
      </c>
      <c r="E23" s="85" t="s">
        <v>3383</v>
      </c>
      <c r="F23" s="86" t="s">
        <v>184</v>
      </c>
      <c r="G23" s="32" t="s">
        <v>185</v>
      </c>
      <c r="H23" s="85" t="s">
        <v>186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>
      <c r="A24" s="32" t="s">
        <v>190</v>
      </c>
      <c r="B24" s="32" t="s">
        <v>28</v>
      </c>
      <c r="C24" s="32" t="s">
        <v>3384</v>
      </c>
      <c r="D24" s="87" t="s">
        <v>191</v>
      </c>
      <c r="E24" s="85" t="s">
        <v>3385</v>
      </c>
      <c r="F24" s="89" t="s">
        <v>193</v>
      </c>
      <c r="G24" s="85" t="s">
        <v>173</v>
      </c>
      <c r="H24" s="85" t="s">
        <v>174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>
      <c r="A25" s="85" t="s">
        <v>197</v>
      </c>
      <c r="B25" s="32" t="s">
        <v>28</v>
      </c>
      <c r="C25" s="32" t="s">
        <v>3381</v>
      </c>
      <c r="D25" s="84"/>
      <c r="E25" s="85" t="s">
        <v>3386</v>
      </c>
      <c r="F25" s="89" t="s">
        <v>199</v>
      </c>
      <c r="G25" s="32" t="s">
        <v>200</v>
      </c>
      <c r="H25" s="85" t="s">
        <v>201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>
      <c r="A26" s="32" t="s">
        <v>206</v>
      </c>
      <c r="B26" s="32" t="s">
        <v>28</v>
      </c>
      <c r="C26" s="32" t="s">
        <v>3384</v>
      </c>
      <c r="D26" s="84"/>
      <c r="E26" s="85" t="s">
        <v>3387</v>
      </c>
      <c r="F26" s="32"/>
      <c r="G26" s="32" t="s">
        <v>208</v>
      </c>
      <c r="H26" s="85" t="s">
        <v>209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>
      <c r="A27" s="32" t="s">
        <v>210</v>
      </c>
      <c r="B27" s="32" t="s">
        <v>28</v>
      </c>
      <c r="C27" s="32" t="s">
        <v>211</v>
      </c>
      <c r="D27" s="84"/>
      <c r="E27" s="85" t="s">
        <v>3388</v>
      </c>
      <c r="F27" s="89" t="s">
        <v>213</v>
      </c>
      <c r="G27" s="32" t="s">
        <v>214</v>
      </c>
      <c r="H27" s="85" t="s">
        <v>215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>
      <c r="A28" s="32" t="s">
        <v>216</v>
      </c>
      <c r="B28" s="32" t="s">
        <v>28</v>
      </c>
      <c r="C28" s="32" t="s">
        <v>211</v>
      </c>
      <c r="D28" s="87" t="s">
        <v>217</v>
      </c>
      <c r="E28" s="32" t="s">
        <v>3389</v>
      </c>
      <c r="F28" s="89" t="s">
        <v>219</v>
      </c>
      <c r="G28" s="32"/>
      <c r="H28" s="90" t="s">
        <v>220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>
      <c r="A29" s="32" t="s">
        <v>221</v>
      </c>
      <c r="B29" s="32" t="s">
        <v>28</v>
      </c>
      <c r="C29" s="32" t="s">
        <v>211</v>
      </c>
      <c r="D29" s="84"/>
      <c r="E29" s="85" t="s">
        <v>3388</v>
      </c>
      <c r="F29" s="86" t="s">
        <v>222</v>
      </c>
      <c r="G29" s="32" t="s">
        <v>214</v>
      </c>
      <c r="H29" s="85" t="s">
        <v>223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>
      <c r="A30" s="32" t="s">
        <v>224</v>
      </c>
      <c r="B30" s="32" t="s">
        <v>28</v>
      </c>
      <c r="C30" s="32" t="s">
        <v>211</v>
      </c>
      <c r="D30" s="84"/>
      <c r="E30" s="85" t="s">
        <v>3390</v>
      </c>
      <c r="F30" s="89" t="s">
        <v>226</v>
      </c>
      <c r="G30" s="85" t="s">
        <v>227</v>
      </c>
      <c r="H30" s="85" t="s">
        <v>228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>
      <c r="A31" s="32" t="s">
        <v>229</v>
      </c>
      <c r="B31" s="32" t="s">
        <v>28</v>
      </c>
      <c r="C31" s="32" t="s">
        <v>211</v>
      </c>
      <c r="D31" s="84"/>
      <c r="E31" s="85" t="s">
        <v>3391</v>
      </c>
      <c r="F31" s="89" t="s">
        <v>226</v>
      </c>
      <c r="G31" s="32" t="s">
        <v>227</v>
      </c>
      <c r="H31" s="85" t="s">
        <v>231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>
      <c r="A32" s="32" t="s">
        <v>232</v>
      </c>
      <c r="B32" s="32" t="s">
        <v>28</v>
      </c>
      <c r="C32" s="32" t="s">
        <v>211</v>
      </c>
      <c r="D32" s="84"/>
      <c r="E32" s="85" t="s">
        <v>3392</v>
      </c>
      <c r="F32" s="89" t="s">
        <v>226</v>
      </c>
      <c r="G32" s="32" t="s">
        <v>227</v>
      </c>
      <c r="H32" s="85" t="s">
        <v>234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>
      <c r="A33" s="32" t="s">
        <v>235</v>
      </c>
      <c r="B33" s="32" t="s">
        <v>28</v>
      </c>
      <c r="C33" s="32" t="s">
        <v>211</v>
      </c>
      <c r="D33" s="84"/>
      <c r="E33" s="85" t="s">
        <v>3393</v>
      </c>
      <c r="F33" s="32"/>
      <c r="G33" s="32"/>
      <c r="H33" s="85" t="s">
        <v>234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>
      <c r="A34" s="32" t="s">
        <v>237</v>
      </c>
      <c r="B34" s="32" t="s">
        <v>28</v>
      </c>
      <c r="C34" s="32" t="s">
        <v>211</v>
      </c>
      <c r="D34" s="84"/>
      <c r="E34" s="85" t="s">
        <v>3394</v>
      </c>
      <c r="F34" s="32"/>
      <c r="G34" s="32"/>
      <c r="H34" s="85" t="s">
        <v>239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>
      <c r="A35" s="32" t="s">
        <v>240</v>
      </c>
      <c r="B35" s="32" t="s">
        <v>28</v>
      </c>
      <c r="C35" s="32" t="s">
        <v>211</v>
      </c>
      <c r="D35" s="84"/>
      <c r="E35" s="85" t="s">
        <v>3395</v>
      </c>
      <c r="F35" s="86" t="s">
        <v>242</v>
      </c>
      <c r="G35" s="32" t="s">
        <v>243</v>
      </c>
      <c r="H35" s="85" t="s">
        <v>244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>
      <c r="A36" s="32" t="s">
        <v>245</v>
      </c>
      <c r="B36" s="32" t="s">
        <v>28</v>
      </c>
      <c r="C36" s="32" t="s">
        <v>211</v>
      </c>
      <c r="D36" s="84"/>
      <c r="E36" s="85" t="s">
        <v>3396</v>
      </c>
      <c r="F36" s="91" t="s">
        <v>247</v>
      </c>
      <c r="G36" s="32" t="s">
        <v>248</v>
      </c>
      <c r="H36" s="85" t="s">
        <v>209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>
      <c r="A37" s="32" t="s">
        <v>249</v>
      </c>
      <c r="B37" s="32" t="s">
        <v>28</v>
      </c>
      <c r="C37" s="32" t="s">
        <v>250</v>
      </c>
      <c r="D37" s="84"/>
      <c r="E37" s="85" t="s">
        <v>3397</v>
      </c>
      <c r="F37" s="85" t="s">
        <v>251</v>
      </c>
      <c r="G37" s="32"/>
      <c r="H37" s="85" t="s">
        <v>252</v>
      </c>
      <c r="I37" s="32">
        <v>20.0</v>
      </c>
      <c r="J37" s="32" t="s">
        <v>1653</v>
      </c>
      <c r="K37" s="32"/>
      <c r="L37" s="32"/>
      <c r="M37" s="32"/>
      <c r="N37" s="88" t="s">
        <v>74</v>
      </c>
      <c r="O37" s="88" t="s">
        <v>74</v>
      </c>
      <c r="P37" s="88" t="s">
        <v>74</v>
      </c>
      <c r="Q37" s="32"/>
      <c r="R37" s="32"/>
      <c r="S37" s="32"/>
      <c r="T37" s="32"/>
      <c r="U37" s="32" t="s">
        <v>1653</v>
      </c>
      <c r="V37" s="32" t="s">
        <v>3398</v>
      </c>
      <c r="W37" s="32">
        <v>2.0</v>
      </c>
      <c r="X37" s="32">
        <v>20.0</v>
      </c>
      <c r="Y37" s="32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>
      <c r="A38" s="85" t="s">
        <v>3399</v>
      </c>
      <c r="B38" s="32" t="s">
        <v>28</v>
      </c>
      <c r="C38" s="32" t="s">
        <v>250</v>
      </c>
      <c r="D38" s="84"/>
      <c r="E38" s="85" t="s">
        <v>3400</v>
      </c>
      <c r="F38" s="32"/>
      <c r="G38" s="32"/>
      <c r="H38" s="85" t="s">
        <v>255</v>
      </c>
      <c r="I38" s="32">
        <v>100.0</v>
      </c>
      <c r="J38" s="32" t="s">
        <v>1653</v>
      </c>
      <c r="K38" s="32"/>
      <c r="L38" s="32"/>
      <c r="M38" s="32"/>
      <c r="N38" s="88" t="s">
        <v>74</v>
      </c>
      <c r="O38" s="88" t="s">
        <v>74</v>
      </c>
      <c r="P38" s="88" t="s">
        <v>74</v>
      </c>
      <c r="Q38" s="32"/>
      <c r="R38" s="32"/>
      <c r="S38" s="32"/>
      <c r="T38" s="32"/>
      <c r="U38" s="32" t="s">
        <v>1653</v>
      </c>
      <c r="V38" s="32" t="s">
        <v>3401</v>
      </c>
      <c r="W38" s="32">
        <v>3.0</v>
      </c>
      <c r="X38" s="32">
        <v>40.0</v>
      </c>
      <c r="Y38" s="32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>
      <c r="A39" s="32" t="s">
        <v>257</v>
      </c>
      <c r="B39" s="32" t="s">
        <v>28</v>
      </c>
      <c r="C39" s="32" t="s">
        <v>250</v>
      </c>
      <c r="D39" s="84"/>
      <c r="E39" s="85" t="s">
        <v>3402</v>
      </c>
      <c r="F39" s="85" t="s">
        <v>258</v>
      </c>
      <c r="G39" s="32"/>
      <c r="H39" s="85" t="s">
        <v>259</v>
      </c>
      <c r="I39" s="32">
        <v>20.0</v>
      </c>
      <c r="J39" s="32" t="s">
        <v>1653</v>
      </c>
      <c r="K39" s="32"/>
      <c r="L39" s="32"/>
      <c r="M39" s="32"/>
      <c r="N39" s="88" t="s">
        <v>74</v>
      </c>
      <c r="O39" s="88" t="s">
        <v>74</v>
      </c>
      <c r="P39" s="88" t="s">
        <v>74</v>
      </c>
      <c r="Q39" s="32"/>
      <c r="R39" s="32"/>
      <c r="S39" s="32"/>
      <c r="T39" s="32"/>
      <c r="U39" s="32" t="s">
        <v>413</v>
      </c>
      <c r="V39" s="32" t="s">
        <v>3401</v>
      </c>
      <c r="W39" s="32">
        <v>8.0</v>
      </c>
      <c r="X39" s="32">
        <v>20.0</v>
      </c>
      <c r="Y39" s="32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>
      <c r="A40" s="32" t="s">
        <v>261</v>
      </c>
      <c r="B40" s="32" t="s">
        <v>28</v>
      </c>
      <c r="C40" s="32" t="s">
        <v>262</v>
      </c>
      <c r="D40" s="87" t="s">
        <v>263</v>
      </c>
      <c r="E40" s="85" t="s">
        <v>3403</v>
      </c>
      <c r="F40" s="89" t="s">
        <v>265</v>
      </c>
      <c r="G40" s="85" t="s">
        <v>266</v>
      </c>
      <c r="H40" s="85" t="s">
        <v>267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>
      <c r="A41" s="32" t="s">
        <v>268</v>
      </c>
      <c r="B41" s="32" t="s">
        <v>28</v>
      </c>
      <c r="C41" s="32" t="s">
        <v>262</v>
      </c>
      <c r="D41" s="87" t="s">
        <v>269</v>
      </c>
      <c r="E41" s="85" t="s">
        <v>3404</v>
      </c>
      <c r="F41" s="86" t="s">
        <v>271</v>
      </c>
      <c r="G41" s="85" t="s">
        <v>272</v>
      </c>
      <c r="H41" s="85" t="s">
        <v>129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>
      <c r="A42" s="32" t="s">
        <v>273</v>
      </c>
      <c r="B42" s="32" t="s">
        <v>28</v>
      </c>
      <c r="C42" s="32" t="s">
        <v>262</v>
      </c>
      <c r="D42" s="87" t="s">
        <v>274</v>
      </c>
      <c r="E42" s="85" t="s">
        <v>3405</v>
      </c>
      <c r="F42" s="86" t="s">
        <v>276</v>
      </c>
      <c r="G42" s="85" t="s">
        <v>277</v>
      </c>
      <c r="H42" s="85" t="s">
        <v>61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>
      <c r="A43" s="32" t="s">
        <v>278</v>
      </c>
      <c r="B43" s="32" t="s">
        <v>28</v>
      </c>
      <c r="C43" s="32" t="s">
        <v>262</v>
      </c>
      <c r="D43" s="87" t="s">
        <v>279</v>
      </c>
      <c r="E43" s="85" t="s">
        <v>3406</v>
      </c>
      <c r="F43" s="86" t="s">
        <v>281</v>
      </c>
      <c r="G43" s="85" t="s">
        <v>282</v>
      </c>
      <c r="H43" s="85" t="s">
        <v>84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>
      <c r="A44" s="32" t="s">
        <v>283</v>
      </c>
      <c r="B44" s="32" t="s">
        <v>28</v>
      </c>
      <c r="C44" s="32" t="s">
        <v>262</v>
      </c>
      <c r="D44" s="87" t="s">
        <v>284</v>
      </c>
      <c r="E44" s="85" t="s">
        <v>3359</v>
      </c>
      <c r="F44" s="86" t="s">
        <v>47</v>
      </c>
      <c r="G44" s="85" t="s">
        <v>48</v>
      </c>
      <c r="H44" s="85" t="s">
        <v>285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>
      <c r="A45" s="32" t="s">
        <v>286</v>
      </c>
      <c r="B45" s="32" t="s">
        <v>28</v>
      </c>
      <c r="C45" s="32" t="s">
        <v>262</v>
      </c>
      <c r="D45" s="87" t="s">
        <v>287</v>
      </c>
      <c r="E45" s="85" t="s">
        <v>3358</v>
      </c>
      <c r="F45" s="89" t="s">
        <v>288</v>
      </c>
      <c r="G45" s="85" t="s">
        <v>32</v>
      </c>
      <c r="H45" s="85" t="s">
        <v>289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>
      <c r="A46" s="5"/>
      <c r="B46" s="5"/>
      <c r="C46" s="5"/>
      <c r="D46" s="9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>
      <c r="A47" s="5"/>
      <c r="B47" s="5"/>
      <c r="C47" s="5"/>
      <c r="D47" s="9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>
      <c r="A48" s="5"/>
      <c r="B48" s="5"/>
      <c r="C48" s="5"/>
      <c r="D48" s="9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>
      <c r="A49" s="5"/>
      <c r="B49" s="5"/>
      <c r="C49" s="5"/>
      <c r="D49" s="9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>
      <c r="A50" s="5"/>
      <c r="B50" s="5"/>
      <c r="C50" s="5"/>
      <c r="D50" s="9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>
      <c r="A51" s="5"/>
      <c r="B51" s="5"/>
      <c r="C51" s="5"/>
      <c r="D51" s="9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>
      <c r="A52" s="5"/>
      <c r="B52" s="5"/>
      <c r="C52" s="5"/>
      <c r="D52" s="9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>
      <c r="A53" s="5"/>
      <c r="B53" s="5"/>
      <c r="C53" s="5"/>
      <c r="D53" s="9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>
      <c r="A54" s="5"/>
      <c r="B54" s="5"/>
      <c r="C54" s="5"/>
      <c r="D54" s="9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>
      <c r="A55" s="5"/>
      <c r="B55" s="5"/>
      <c r="C55" s="5"/>
      <c r="D55" s="9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>
      <c r="A56" s="5"/>
      <c r="B56" s="5"/>
      <c r="C56" s="5"/>
      <c r="D56" s="9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>
      <c r="A57" s="5"/>
      <c r="B57" s="5"/>
      <c r="C57" s="5"/>
      <c r="D57" s="9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>
      <c r="A58" s="5"/>
      <c r="B58" s="5"/>
      <c r="C58" s="5"/>
      <c r="D58" s="9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>
      <c r="A59" s="5"/>
      <c r="B59" s="5"/>
      <c r="C59" s="5"/>
      <c r="D59" s="9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>
      <c r="A60" s="5"/>
      <c r="B60" s="5"/>
      <c r="C60" s="5"/>
      <c r="D60" s="9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>
      <c r="A61" s="5"/>
      <c r="B61" s="5"/>
      <c r="C61" s="5"/>
      <c r="D61" s="9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>
      <c r="A62" s="5"/>
      <c r="B62" s="5"/>
      <c r="C62" s="5"/>
      <c r="D62" s="9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>
      <c r="A63" s="5"/>
      <c r="B63" s="5"/>
      <c r="C63" s="5"/>
      <c r="D63" s="9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>
      <c r="A64" s="5"/>
      <c r="B64" s="5"/>
      <c r="C64" s="5"/>
      <c r="D64" s="9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>
      <c r="A65" s="5"/>
      <c r="B65" s="5"/>
      <c r="C65" s="5"/>
      <c r="D65" s="9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>
      <c r="A66" s="5"/>
      <c r="B66" s="5"/>
      <c r="C66" s="5"/>
      <c r="D66" s="9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>
      <c r="A67" s="5"/>
      <c r="B67" s="5"/>
      <c r="C67" s="5"/>
      <c r="D67" s="9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>
      <c r="A68" s="5"/>
      <c r="B68" s="5"/>
      <c r="C68" s="5"/>
      <c r="D68" s="9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>
      <c r="A69" s="5"/>
      <c r="B69" s="5"/>
      <c r="C69" s="5"/>
      <c r="D69" s="9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>
      <c r="A70" s="5"/>
      <c r="B70" s="5"/>
      <c r="C70" s="5"/>
      <c r="D70" s="9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>
      <c r="A71" s="5"/>
      <c r="B71" s="5"/>
      <c r="C71" s="5"/>
      <c r="D71" s="9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>
      <c r="A72" s="5"/>
      <c r="B72" s="5"/>
      <c r="C72" s="5"/>
      <c r="D72" s="9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>
      <c r="A73" s="5"/>
      <c r="B73" s="5"/>
      <c r="C73" s="5"/>
      <c r="D73" s="9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>
      <c r="A74" s="5"/>
      <c r="B74" s="5"/>
      <c r="C74" s="5"/>
      <c r="D74" s="9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>
      <c r="A75" s="5"/>
      <c r="B75" s="5"/>
      <c r="C75" s="5"/>
      <c r="D75" s="9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>
      <c r="A76" s="5"/>
      <c r="B76" s="5"/>
      <c r="C76" s="5"/>
      <c r="D76" s="9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>
      <c r="A77" s="5"/>
      <c r="B77" s="5"/>
      <c r="C77" s="5"/>
      <c r="D77" s="9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>
      <c r="A78" s="5"/>
      <c r="B78" s="5"/>
      <c r="C78" s="5"/>
      <c r="D78" s="9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>
      <c r="A79" s="5"/>
      <c r="B79" s="5"/>
      <c r="C79" s="5"/>
      <c r="D79" s="9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5"/>
      <c r="B80" s="5"/>
      <c r="C80" s="5"/>
      <c r="D80" s="9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5"/>
      <c r="B81" s="5"/>
      <c r="C81" s="5"/>
      <c r="D81" s="9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5"/>
      <c r="B82" s="5"/>
      <c r="C82" s="5"/>
      <c r="D82" s="9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5"/>
      <c r="B83" s="5"/>
      <c r="C83" s="5"/>
      <c r="D83" s="9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5"/>
      <c r="B84" s="5"/>
      <c r="C84" s="5"/>
      <c r="D84" s="9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5"/>
      <c r="B85" s="5"/>
      <c r="C85" s="5"/>
      <c r="D85" s="9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5"/>
      <c r="B86" s="5"/>
      <c r="C86" s="5"/>
      <c r="D86" s="9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5"/>
      <c r="B87" s="5"/>
      <c r="C87" s="5"/>
      <c r="D87" s="9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5"/>
      <c r="B88" s="5"/>
      <c r="C88" s="5"/>
      <c r="D88" s="9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5"/>
      <c r="B89" s="5"/>
      <c r="C89" s="5"/>
      <c r="D89" s="9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5"/>
      <c r="B90" s="5"/>
      <c r="C90" s="5"/>
      <c r="D90" s="9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5"/>
      <c r="B91" s="5"/>
      <c r="C91" s="5"/>
      <c r="D91" s="9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5"/>
      <c r="B92" s="5"/>
      <c r="C92" s="5"/>
      <c r="D92" s="9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A93" s="5"/>
      <c r="B93" s="5"/>
      <c r="C93" s="5"/>
      <c r="D93" s="9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5"/>
      <c r="B94" s="5"/>
      <c r="C94" s="5"/>
      <c r="D94" s="9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5"/>
      <c r="C95" s="5"/>
      <c r="D95" s="9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5"/>
      <c r="C96" s="5"/>
      <c r="D96" s="9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5"/>
      <c r="C97" s="5"/>
      <c r="D97" s="9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5"/>
      <c r="C98" s="5"/>
      <c r="D98" s="9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5"/>
      <c r="C99" s="5"/>
      <c r="D99" s="9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5"/>
      <c r="C100" s="5"/>
      <c r="D100" s="9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5"/>
      <c r="C101" s="5"/>
      <c r="D101" s="9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5"/>
      <c r="C102" s="5"/>
      <c r="D102" s="9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5"/>
      <c r="C103" s="5"/>
      <c r="D103" s="9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5"/>
      <c r="C104" s="5"/>
      <c r="D104" s="9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5"/>
      <c r="C105" s="5"/>
      <c r="D105" s="9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9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5"/>
      <c r="C107" s="5"/>
      <c r="D107" s="9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5"/>
      <c r="C108" s="5"/>
      <c r="D108" s="9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5"/>
      <c r="C109" s="5"/>
      <c r="D109" s="9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5"/>
      <c r="C110" s="5"/>
      <c r="D110" s="9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5"/>
      <c r="C111" s="5"/>
      <c r="D111" s="9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5"/>
      <c r="C112" s="5"/>
      <c r="D112" s="9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5"/>
      <c r="C113" s="5"/>
      <c r="D113" s="9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5"/>
      <c r="C114" s="5"/>
      <c r="D114" s="9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5"/>
      <c r="C115" s="5"/>
      <c r="D115" s="9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5"/>
      <c r="C116" s="5"/>
      <c r="D116" s="9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5"/>
      <c r="C117" s="5"/>
      <c r="D117" s="9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5"/>
      <c r="C118" s="5"/>
      <c r="D118" s="9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5"/>
      <c r="C119" s="5"/>
      <c r="D119" s="9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5"/>
      <c r="C120" s="5"/>
      <c r="D120" s="9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5"/>
      <c r="B121" s="5"/>
      <c r="C121" s="5"/>
      <c r="D121" s="9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5"/>
      <c r="B122" s="5"/>
      <c r="C122" s="5"/>
      <c r="D122" s="9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5"/>
      <c r="B123" s="5"/>
      <c r="C123" s="5"/>
      <c r="D123" s="9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5"/>
      <c r="B124" s="5"/>
      <c r="C124" s="5"/>
      <c r="D124" s="9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5"/>
      <c r="B125" s="5"/>
      <c r="C125" s="5"/>
      <c r="D125" s="9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5"/>
      <c r="B126" s="5"/>
      <c r="C126" s="5"/>
      <c r="D126" s="9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5"/>
      <c r="B127" s="5"/>
      <c r="C127" s="5"/>
      <c r="D127" s="9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5"/>
      <c r="B128" s="5"/>
      <c r="C128" s="5"/>
      <c r="D128" s="9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>
      <c r="A129" s="5"/>
      <c r="B129" s="5"/>
      <c r="C129" s="5"/>
      <c r="D129" s="9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>
      <c r="A130" s="5"/>
      <c r="B130" s="5"/>
      <c r="C130" s="5"/>
      <c r="D130" s="9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5"/>
      <c r="B131" s="5"/>
      <c r="C131" s="5"/>
      <c r="D131" s="9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5"/>
      <c r="B132" s="5"/>
      <c r="C132" s="5"/>
      <c r="D132" s="9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5"/>
      <c r="B133" s="5"/>
      <c r="C133" s="5"/>
      <c r="D133" s="9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5"/>
      <c r="B134" s="5"/>
      <c r="C134" s="5"/>
      <c r="D134" s="9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5"/>
      <c r="B135" s="5"/>
      <c r="C135" s="5"/>
      <c r="D135" s="9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5"/>
      <c r="B136" s="5"/>
      <c r="C136" s="5"/>
      <c r="D136" s="9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5"/>
      <c r="B137" s="5"/>
      <c r="C137" s="5"/>
      <c r="D137" s="9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5"/>
      <c r="B138" s="5"/>
      <c r="C138" s="5"/>
      <c r="D138" s="9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5"/>
      <c r="B139" s="5"/>
      <c r="C139" s="5"/>
      <c r="D139" s="9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5"/>
      <c r="B140" s="5"/>
      <c r="C140" s="5"/>
      <c r="D140" s="9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5"/>
      <c r="B141" s="5"/>
      <c r="C141" s="5"/>
      <c r="D141" s="9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5"/>
      <c r="B142" s="5"/>
      <c r="C142" s="5"/>
      <c r="D142" s="9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5"/>
      <c r="B143" s="5"/>
      <c r="C143" s="5"/>
      <c r="D143" s="9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5"/>
      <c r="B144" s="5"/>
      <c r="C144" s="5"/>
      <c r="D144" s="9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5"/>
      <c r="B145" s="5"/>
      <c r="C145" s="5"/>
      <c r="D145" s="9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5"/>
      <c r="B146" s="5"/>
      <c r="C146" s="5"/>
      <c r="D146" s="9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5"/>
      <c r="B147" s="5"/>
      <c r="C147" s="5"/>
      <c r="D147" s="9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5"/>
      <c r="B148" s="5"/>
      <c r="C148" s="5"/>
      <c r="D148" s="9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5"/>
      <c r="B149" s="5"/>
      <c r="C149" s="5"/>
      <c r="D149" s="9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5"/>
      <c r="B150" s="5"/>
      <c r="C150" s="5"/>
      <c r="D150" s="9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5"/>
      <c r="B151" s="5"/>
      <c r="C151" s="5"/>
      <c r="D151" s="9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5"/>
      <c r="B152" s="5"/>
      <c r="C152" s="5"/>
      <c r="D152" s="9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5"/>
      <c r="B153" s="5"/>
      <c r="C153" s="5"/>
      <c r="D153" s="9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5"/>
      <c r="B154" s="5"/>
      <c r="C154" s="5"/>
      <c r="D154" s="9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5"/>
      <c r="B155" s="5"/>
      <c r="C155" s="5"/>
      <c r="D155" s="9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5"/>
      <c r="B156" s="5"/>
      <c r="C156" s="5"/>
      <c r="D156" s="9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5"/>
      <c r="B157" s="5"/>
      <c r="C157" s="5"/>
      <c r="D157" s="9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5"/>
      <c r="B158" s="5"/>
      <c r="C158" s="5"/>
      <c r="D158" s="9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5"/>
      <c r="B159" s="5"/>
      <c r="C159" s="5"/>
      <c r="D159" s="9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5"/>
      <c r="B160" s="5"/>
      <c r="C160" s="5"/>
      <c r="D160" s="9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5"/>
      <c r="B161" s="5"/>
      <c r="C161" s="5"/>
      <c r="D161" s="9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5"/>
      <c r="B162" s="5"/>
      <c r="C162" s="5"/>
      <c r="D162" s="9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5"/>
      <c r="B163" s="5"/>
      <c r="C163" s="5"/>
      <c r="D163" s="9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5"/>
      <c r="B164" s="5"/>
      <c r="C164" s="5"/>
      <c r="D164" s="9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5"/>
      <c r="B165" s="5"/>
      <c r="C165" s="5"/>
      <c r="D165" s="9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5"/>
      <c r="B166" s="5"/>
      <c r="C166" s="5"/>
      <c r="D166" s="9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5"/>
      <c r="B167" s="5"/>
      <c r="C167" s="5"/>
      <c r="D167" s="9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5"/>
      <c r="B168" s="5"/>
      <c r="C168" s="5"/>
      <c r="D168" s="9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5"/>
      <c r="B169" s="5"/>
      <c r="C169" s="5"/>
      <c r="D169" s="9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5"/>
      <c r="B170" s="5"/>
      <c r="C170" s="5"/>
      <c r="D170" s="9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5"/>
      <c r="B171" s="5"/>
      <c r="C171" s="5"/>
      <c r="D171" s="9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5"/>
      <c r="B172" s="5"/>
      <c r="C172" s="5"/>
      <c r="D172" s="9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5"/>
      <c r="B173" s="5"/>
      <c r="C173" s="5"/>
      <c r="D173" s="9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5"/>
      <c r="B174" s="5"/>
      <c r="C174" s="5"/>
      <c r="D174" s="9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5"/>
      <c r="B175" s="5"/>
      <c r="C175" s="5"/>
      <c r="D175" s="9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5"/>
      <c r="B176" s="5"/>
      <c r="C176" s="5"/>
      <c r="D176" s="9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5"/>
      <c r="B177" s="5"/>
      <c r="C177" s="5"/>
      <c r="D177" s="9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5"/>
      <c r="B178" s="5"/>
      <c r="C178" s="5"/>
      <c r="D178" s="9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5"/>
      <c r="B179" s="5"/>
      <c r="C179" s="5"/>
      <c r="D179" s="9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5"/>
      <c r="B180" s="5"/>
      <c r="C180" s="5"/>
      <c r="D180" s="9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5"/>
      <c r="B181" s="5"/>
      <c r="C181" s="5"/>
      <c r="D181" s="9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5"/>
      <c r="B182" s="5"/>
      <c r="C182" s="5"/>
      <c r="D182" s="9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5"/>
      <c r="B183" s="5"/>
      <c r="C183" s="5"/>
      <c r="D183" s="9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5"/>
      <c r="B184" s="5"/>
      <c r="C184" s="5"/>
      <c r="D184" s="9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5"/>
      <c r="B185" s="5"/>
      <c r="C185" s="5"/>
      <c r="D185" s="9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5"/>
      <c r="B186" s="5"/>
      <c r="C186" s="5"/>
      <c r="D186" s="9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5"/>
      <c r="B187" s="5"/>
      <c r="C187" s="5"/>
      <c r="D187" s="9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5"/>
      <c r="B188" s="5"/>
      <c r="C188" s="5"/>
      <c r="D188" s="9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5"/>
      <c r="B189" s="5"/>
      <c r="C189" s="5"/>
      <c r="D189" s="9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5"/>
      <c r="B190" s="5"/>
      <c r="C190" s="5"/>
      <c r="D190" s="9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5"/>
      <c r="B191" s="5"/>
      <c r="C191" s="5"/>
      <c r="D191" s="9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5"/>
      <c r="B192" s="5"/>
      <c r="C192" s="5"/>
      <c r="D192" s="9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5"/>
      <c r="B193" s="5"/>
      <c r="C193" s="5"/>
      <c r="D193" s="9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5"/>
      <c r="B194" s="5"/>
      <c r="C194" s="5"/>
      <c r="D194" s="9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5"/>
      <c r="B195" s="5"/>
      <c r="C195" s="5"/>
      <c r="D195" s="9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5"/>
      <c r="B196" s="5"/>
      <c r="C196" s="5"/>
      <c r="D196" s="9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5"/>
      <c r="B197" s="5"/>
      <c r="C197" s="5"/>
      <c r="D197" s="9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5"/>
      <c r="B198" s="5"/>
      <c r="C198" s="5"/>
      <c r="D198" s="9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5"/>
      <c r="B199" s="5"/>
      <c r="C199" s="5"/>
      <c r="D199" s="9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5"/>
      <c r="B200" s="5"/>
      <c r="C200" s="5"/>
      <c r="D200" s="9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5"/>
      <c r="B201" s="5"/>
      <c r="C201" s="5"/>
      <c r="D201" s="9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5"/>
      <c r="B202" s="5"/>
      <c r="C202" s="5"/>
      <c r="D202" s="9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5"/>
      <c r="B203" s="5"/>
      <c r="C203" s="5"/>
      <c r="D203" s="9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5"/>
      <c r="B204" s="5"/>
      <c r="C204" s="5"/>
      <c r="D204" s="9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5"/>
      <c r="B205" s="5"/>
      <c r="C205" s="5"/>
      <c r="D205" s="9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5"/>
      <c r="B206" s="5"/>
      <c r="C206" s="5"/>
      <c r="D206" s="9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5"/>
      <c r="B207" s="5"/>
      <c r="C207" s="5"/>
      <c r="D207" s="9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5"/>
      <c r="B208" s="5"/>
      <c r="C208" s="5"/>
      <c r="D208" s="9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5"/>
      <c r="B209" s="5"/>
      <c r="C209" s="5"/>
      <c r="D209" s="9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9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9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9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9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9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9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9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9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9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9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9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9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9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9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9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9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9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9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9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9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9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9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9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9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9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9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9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9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9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9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9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9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9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9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9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9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9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9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9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9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9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9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9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9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9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9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9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9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9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9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9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9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9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9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9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9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9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9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9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9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9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9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9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9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9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9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9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9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9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9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9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9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9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9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9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9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9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9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9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9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9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9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9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9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9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9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9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9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9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9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9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9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9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9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9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9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9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9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9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9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9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9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9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9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9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9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9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9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9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9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9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9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9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9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9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9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9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9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9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9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9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9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9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9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9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9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9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9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9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9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9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9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9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9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9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9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9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9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9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9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9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9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9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9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9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9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9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9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9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9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9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9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9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9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9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9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9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9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9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9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9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9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9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9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9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9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9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9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9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9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9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9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9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9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9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9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9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9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9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9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9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9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9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9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9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9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9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9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9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9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9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9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9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9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9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9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9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9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9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9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9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9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9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9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9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9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9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9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9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9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9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9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9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9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9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9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9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9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9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9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9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9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9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9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9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9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9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9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9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9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9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9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9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9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9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9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9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9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9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9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9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9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9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9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9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9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9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9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9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9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9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9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9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9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9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9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9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9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9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9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9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9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9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9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9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9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9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9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9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9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9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9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9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9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9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9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9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9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9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9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9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9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9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9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9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9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9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9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9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9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9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9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9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9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9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9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9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9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9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9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9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9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9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9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9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9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9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9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9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9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9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9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9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9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9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9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9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9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9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9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9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9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9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9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9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9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9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9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9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9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9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9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9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9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9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9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9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9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9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9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9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9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9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9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9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9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9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9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9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9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9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9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9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9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9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9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9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9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9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9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9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9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9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9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9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9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9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9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9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9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9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9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9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9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9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9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9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9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9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9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9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9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9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9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9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9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9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9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9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9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9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9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9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9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9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9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9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9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9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9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9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9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9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9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9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9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9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9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9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9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9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9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9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9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9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9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9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9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9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9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9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9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9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9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9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9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9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9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9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9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9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9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9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9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9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9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9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9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9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9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9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9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9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9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9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9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9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9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9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9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9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9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9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9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9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9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9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9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9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9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9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9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9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9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9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9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9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9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9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9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9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9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9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9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9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9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9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9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9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9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9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9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9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9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9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9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9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9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9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9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9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9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9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9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9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9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9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9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9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9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9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9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9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9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9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9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9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9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9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9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9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9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9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9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9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9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9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9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9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9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9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9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9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9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9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9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9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9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9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9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9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9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9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9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9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9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9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9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9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9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9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9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9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9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9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9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9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9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9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9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9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9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9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9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9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9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9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9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9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9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9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9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9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9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9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9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9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9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9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9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9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9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9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9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9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9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9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9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9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9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9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9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9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9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9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9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9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9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9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9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9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9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9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9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9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9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9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9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9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9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9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9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9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9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9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9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9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9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9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9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9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9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9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9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9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9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9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9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9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9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9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9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9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9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9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9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9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9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9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9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9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9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9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9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9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9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9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9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9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9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9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9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9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9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9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9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9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9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9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9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9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9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9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9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9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9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9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9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9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9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9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9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9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9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9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9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9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9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9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9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9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9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9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9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9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9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9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9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9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9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9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9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9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9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9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9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9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9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9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9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9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9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9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9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9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9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9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9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9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9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5"/>
      <c r="B910" s="5"/>
      <c r="C910" s="5"/>
      <c r="D910" s="9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5"/>
      <c r="B911" s="5"/>
      <c r="C911" s="5"/>
      <c r="D911" s="9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5"/>
      <c r="B912" s="5"/>
      <c r="C912" s="5"/>
      <c r="D912" s="9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5"/>
      <c r="B913" s="5"/>
      <c r="C913" s="5"/>
      <c r="D913" s="9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5"/>
      <c r="B914" s="5"/>
      <c r="C914" s="5"/>
      <c r="D914" s="9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5"/>
      <c r="B915" s="5"/>
      <c r="C915" s="5"/>
      <c r="D915" s="9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5"/>
      <c r="B916" s="5"/>
      <c r="C916" s="5"/>
      <c r="D916" s="9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5"/>
      <c r="B917" s="5"/>
      <c r="C917" s="5"/>
      <c r="D917" s="9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5"/>
      <c r="B918" s="5"/>
      <c r="C918" s="5"/>
      <c r="D918" s="9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5"/>
      <c r="B919" s="5"/>
      <c r="C919" s="5"/>
      <c r="D919" s="9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5"/>
      <c r="B920" s="5"/>
      <c r="C920" s="5"/>
      <c r="D920" s="9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5"/>
      <c r="B921" s="5"/>
      <c r="C921" s="5"/>
      <c r="D921" s="9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5"/>
      <c r="B922" s="5"/>
      <c r="C922" s="5"/>
      <c r="D922" s="9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5"/>
      <c r="B923" s="5"/>
      <c r="C923" s="5"/>
      <c r="D923" s="9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5"/>
      <c r="B924" s="5"/>
      <c r="C924" s="5"/>
      <c r="D924" s="9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5"/>
      <c r="B925" s="5"/>
      <c r="C925" s="5"/>
      <c r="D925" s="9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5"/>
      <c r="B926" s="5"/>
      <c r="C926" s="5"/>
      <c r="D926" s="9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5"/>
      <c r="B927" s="5"/>
      <c r="C927" s="5"/>
      <c r="D927" s="9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5"/>
      <c r="B928" s="5"/>
      <c r="C928" s="5"/>
      <c r="D928" s="9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5"/>
      <c r="B929" s="5"/>
      <c r="C929" s="5"/>
      <c r="D929" s="9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5"/>
      <c r="B930" s="5"/>
      <c r="C930" s="5"/>
      <c r="D930" s="9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5"/>
      <c r="B931" s="5"/>
      <c r="C931" s="5"/>
      <c r="D931" s="9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5"/>
      <c r="B932" s="5"/>
      <c r="C932" s="5"/>
      <c r="D932" s="9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5"/>
      <c r="B933" s="5"/>
      <c r="C933" s="5"/>
      <c r="D933" s="9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5"/>
      <c r="B934" s="5"/>
      <c r="C934" s="5"/>
      <c r="D934" s="9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5"/>
      <c r="B935" s="5"/>
      <c r="C935" s="5"/>
      <c r="D935" s="9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5"/>
      <c r="B936" s="5"/>
      <c r="C936" s="5"/>
      <c r="D936" s="9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5"/>
      <c r="B937" s="5"/>
      <c r="C937" s="5"/>
      <c r="D937" s="9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5"/>
      <c r="B938" s="5"/>
      <c r="C938" s="5"/>
      <c r="D938" s="9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5"/>
      <c r="B939" s="5"/>
      <c r="C939" s="5"/>
      <c r="D939" s="9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5"/>
      <c r="B940" s="5"/>
      <c r="C940" s="5"/>
      <c r="D940" s="9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5"/>
      <c r="B941" s="5"/>
      <c r="C941" s="5"/>
      <c r="D941" s="9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5"/>
      <c r="B942" s="5"/>
      <c r="C942" s="5"/>
      <c r="D942" s="9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5"/>
      <c r="B943" s="5"/>
      <c r="C943" s="5"/>
      <c r="D943" s="9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5"/>
      <c r="B944" s="5"/>
      <c r="C944" s="5"/>
      <c r="D944" s="9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5"/>
      <c r="B945" s="5"/>
      <c r="C945" s="5"/>
      <c r="D945" s="9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5"/>
      <c r="B946" s="5"/>
      <c r="C946" s="5"/>
      <c r="D946" s="9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5"/>
      <c r="B947" s="5"/>
      <c r="C947" s="5"/>
      <c r="D947" s="9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5"/>
      <c r="B948" s="5"/>
      <c r="C948" s="5"/>
      <c r="D948" s="9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5"/>
      <c r="B949" s="5"/>
      <c r="C949" s="5"/>
      <c r="D949" s="9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5"/>
      <c r="B950" s="5"/>
      <c r="C950" s="5"/>
      <c r="D950" s="9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5"/>
      <c r="B951" s="5"/>
      <c r="C951" s="5"/>
      <c r="D951" s="9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5"/>
      <c r="B952" s="5"/>
      <c r="C952" s="5"/>
      <c r="D952" s="9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5"/>
      <c r="B953" s="5"/>
      <c r="C953" s="5"/>
      <c r="D953" s="9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5"/>
      <c r="B954" s="5"/>
      <c r="C954" s="5"/>
      <c r="D954" s="9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5"/>
      <c r="B955" s="5"/>
      <c r="C955" s="5"/>
      <c r="D955" s="9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5"/>
      <c r="B956" s="5"/>
      <c r="C956" s="5"/>
      <c r="D956" s="9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5"/>
      <c r="B957" s="5"/>
      <c r="C957" s="5"/>
      <c r="D957" s="9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5"/>
      <c r="B958" s="5"/>
      <c r="C958" s="5"/>
      <c r="D958" s="9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5"/>
      <c r="B959" s="5"/>
      <c r="C959" s="5"/>
      <c r="D959" s="9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5"/>
      <c r="B960" s="5"/>
      <c r="C960" s="5"/>
      <c r="D960" s="9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5"/>
      <c r="B961" s="5"/>
      <c r="C961" s="5"/>
      <c r="D961" s="9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5"/>
      <c r="B962" s="5"/>
      <c r="C962" s="5"/>
      <c r="D962" s="9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5"/>
      <c r="B963" s="5"/>
      <c r="C963" s="5"/>
      <c r="D963" s="9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5"/>
      <c r="B964" s="5"/>
      <c r="C964" s="5"/>
      <c r="D964" s="9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5"/>
      <c r="B965" s="5"/>
      <c r="C965" s="5"/>
      <c r="D965" s="9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5"/>
      <c r="B966" s="5"/>
      <c r="C966" s="5"/>
      <c r="D966" s="9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5"/>
      <c r="B967" s="5"/>
      <c r="C967" s="5"/>
      <c r="D967" s="9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5"/>
      <c r="B968" s="5"/>
      <c r="C968" s="5"/>
      <c r="D968" s="9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5"/>
      <c r="B969" s="5"/>
      <c r="C969" s="5"/>
      <c r="D969" s="9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5"/>
      <c r="B970" s="5"/>
      <c r="C970" s="5"/>
      <c r="D970" s="9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>
      <c r="A971" s="5"/>
      <c r="B971" s="5"/>
      <c r="C971" s="5"/>
      <c r="D971" s="9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>
      <c r="A972" s="5"/>
      <c r="B972" s="5"/>
      <c r="C972" s="5"/>
      <c r="D972" s="9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>
      <c r="A973" s="5"/>
      <c r="B973" s="5"/>
      <c r="C973" s="5"/>
      <c r="D973" s="9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>
      <c r="A974" s="5"/>
      <c r="B974" s="5"/>
      <c r="C974" s="5"/>
      <c r="D974" s="9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>
      <c r="A975" s="5"/>
      <c r="B975" s="5"/>
      <c r="C975" s="5"/>
      <c r="D975" s="9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>
      <c r="A976" s="5"/>
      <c r="B976" s="5"/>
      <c r="C976" s="5"/>
      <c r="D976" s="9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>
      <c r="A977" s="5"/>
      <c r="B977" s="5"/>
      <c r="C977" s="5"/>
      <c r="D977" s="9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>
      <c r="A978" s="5"/>
      <c r="B978" s="5"/>
      <c r="C978" s="5"/>
      <c r="D978" s="9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>
      <c r="A979" s="5"/>
      <c r="B979" s="5"/>
      <c r="C979" s="5"/>
      <c r="D979" s="9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>
      <c r="A980" s="5"/>
      <c r="B980" s="5"/>
      <c r="C980" s="5"/>
      <c r="D980" s="9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>
      <c r="A981" s="5"/>
      <c r="B981" s="5"/>
      <c r="C981" s="5"/>
      <c r="D981" s="9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>
      <c r="A982" s="5"/>
      <c r="B982" s="5"/>
      <c r="C982" s="5"/>
      <c r="D982" s="9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>
      <c r="A983" s="5"/>
      <c r="B983" s="5"/>
      <c r="C983" s="5"/>
      <c r="D983" s="9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>
      <c r="A984" s="5"/>
      <c r="B984" s="5"/>
      <c r="C984" s="5"/>
      <c r="D984" s="9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>
      <c r="A985" s="5"/>
      <c r="B985" s="5"/>
      <c r="C985" s="5"/>
      <c r="D985" s="9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>
      <c r="A986" s="5"/>
      <c r="B986" s="5"/>
      <c r="C986" s="5"/>
      <c r="D986" s="9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>
      <c r="A987" s="5"/>
      <c r="B987" s="5"/>
      <c r="C987" s="5"/>
      <c r="D987" s="9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>
      <c r="A988" s="5"/>
      <c r="B988" s="5"/>
      <c r="C988" s="5"/>
      <c r="D988" s="9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>
      <c r="A989" s="5"/>
      <c r="B989" s="5"/>
      <c r="C989" s="5"/>
      <c r="D989" s="9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>
      <c r="A990" s="5"/>
      <c r="B990" s="5"/>
      <c r="C990" s="5"/>
      <c r="D990" s="9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>
      <c r="A991" s="5"/>
      <c r="B991" s="5"/>
      <c r="C991" s="5"/>
      <c r="D991" s="9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>
      <c r="A992" s="5"/>
      <c r="B992" s="5"/>
      <c r="C992" s="5"/>
      <c r="D992" s="9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>
      <c r="A993" s="5"/>
      <c r="B993" s="5"/>
      <c r="C993" s="5"/>
      <c r="D993" s="9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>
      <c r="A994" s="5"/>
      <c r="B994" s="5"/>
      <c r="C994" s="5"/>
      <c r="D994" s="9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>
      <c r="A995" s="5"/>
      <c r="B995" s="5"/>
      <c r="C995" s="5"/>
      <c r="D995" s="9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>
      <c r="A996" s="5"/>
      <c r="B996" s="5"/>
      <c r="C996" s="5"/>
      <c r="D996" s="9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>
      <c r="A997" s="5"/>
      <c r="B997" s="5"/>
      <c r="C997" s="5"/>
      <c r="D997" s="9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>
      <c r="A998" s="5"/>
      <c r="B998" s="5"/>
      <c r="C998" s="5"/>
      <c r="D998" s="92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>
      <c r="A999" s="5"/>
      <c r="B999" s="5"/>
      <c r="C999" s="5"/>
      <c r="D999" s="92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>
      <c r="A1000" s="5"/>
      <c r="B1000" s="5"/>
      <c r="C1000" s="5"/>
      <c r="D1000" s="9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</sheetData>
  <hyperlinks>
    <hyperlink r:id="rId1" ref="F2"/>
    <hyperlink r:id="rId2" ref="D3"/>
    <hyperlink r:id="rId3" ref="F3"/>
    <hyperlink r:id="rId4" ref="D4"/>
    <hyperlink r:id="rId5" ref="F4"/>
    <hyperlink r:id="rId6" ref="D5"/>
    <hyperlink r:id="rId7" ref="F5"/>
    <hyperlink r:id="rId8" ref="D6"/>
    <hyperlink r:id="rId9" ref="F6"/>
    <hyperlink r:id="rId10" ref="D7"/>
    <hyperlink r:id="rId11" ref="F7"/>
    <hyperlink r:id="rId12" ref="D8"/>
    <hyperlink r:id="rId13" ref="F8"/>
    <hyperlink r:id="rId14" ref="F9"/>
    <hyperlink r:id="rId15" ref="D10"/>
    <hyperlink r:id="rId16" ref="D11"/>
    <hyperlink r:id="rId17" ref="D12"/>
    <hyperlink r:id="rId18" ref="F12"/>
    <hyperlink r:id="rId19" ref="D13"/>
    <hyperlink r:id="rId20" ref="F13"/>
    <hyperlink r:id="rId21" ref="D14"/>
    <hyperlink r:id="rId22" ref="F14"/>
    <hyperlink r:id="rId23" ref="D15"/>
    <hyperlink r:id="rId24" ref="F15"/>
    <hyperlink r:id="rId25" ref="D16"/>
    <hyperlink r:id="rId26" ref="F16"/>
    <hyperlink r:id="rId27" ref="D17"/>
    <hyperlink r:id="rId28" ref="F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3"/>
    <hyperlink r:id="rId40" ref="F23"/>
    <hyperlink r:id="rId41" ref="D24"/>
    <hyperlink r:id="rId42" ref="F24"/>
    <hyperlink r:id="rId43" ref="F25"/>
    <hyperlink r:id="rId44" ref="F27"/>
    <hyperlink r:id="rId45" ref="D28"/>
    <hyperlink r:id="rId46" ref="F28"/>
    <hyperlink r:id="rId47" ref="F29"/>
    <hyperlink r:id="rId48" ref="F30"/>
    <hyperlink r:id="rId49" ref="F31"/>
    <hyperlink r:id="rId50" ref="F32"/>
    <hyperlink r:id="rId51" ref="F35"/>
    <hyperlink r:id="rId52" ref="F36"/>
    <hyperlink r:id="rId53" ref="D40"/>
    <hyperlink r:id="rId54" ref="F40"/>
    <hyperlink r:id="rId55" ref="D41"/>
    <hyperlink r:id="rId56" ref="F41"/>
    <hyperlink r:id="rId57" ref="D42"/>
    <hyperlink r:id="rId58" ref="F42"/>
    <hyperlink r:id="rId59" ref="D43"/>
    <hyperlink r:id="rId60" ref="F43"/>
    <hyperlink r:id="rId61" ref="D44"/>
    <hyperlink r:id="rId62" ref="F44"/>
    <hyperlink r:id="rId63" ref="D45"/>
    <hyperlink r:id="rId64" ref="F45"/>
  </hyperlinks>
  <drawing r:id="rId6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1.29"/>
    <col customWidth="1" min="3" max="3" width="12.71"/>
    <col customWidth="1" min="4" max="4" width="36.86"/>
    <col customWidth="1" min="5" max="5" width="13.43"/>
    <col customWidth="1" min="6" max="6" width="26.0"/>
    <col customWidth="1" min="7" max="7" width="19.43"/>
    <col customWidth="1" min="8" max="8" width="48.86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25</v>
      </c>
      <c r="G1" s="80" t="s">
        <v>6</v>
      </c>
      <c r="H1" s="80" t="s">
        <v>7</v>
      </c>
      <c r="I1" s="80" t="s">
        <v>8</v>
      </c>
      <c r="J1" s="80" t="s">
        <v>9</v>
      </c>
      <c r="K1" s="9" t="s">
        <v>10</v>
      </c>
      <c r="L1" s="8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83" t="s">
        <v>19</v>
      </c>
      <c r="U1" s="83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93"/>
      <c r="AA1" s="40"/>
      <c r="AB1" s="40"/>
      <c r="AC1" s="40"/>
      <c r="AD1" s="40"/>
      <c r="AE1" s="40"/>
      <c r="AF1" s="40"/>
      <c r="AG1" s="40"/>
      <c r="AH1" s="40"/>
      <c r="AI1" s="40"/>
    </row>
    <row r="2">
      <c r="A2" s="32" t="s">
        <v>300</v>
      </c>
      <c r="B2" s="32" t="s">
        <v>301</v>
      </c>
      <c r="C2" s="32" t="s">
        <v>29</v>
      </c>
      <c r="D2" s="87" t="s">
        <v>302</v>
      </c>
      <c r="E2" s="94" t="s">
        <v>303</v>
      </c>
      <c r="F2" s="85" t="s">
        <v>304</v>
      </c>
      <c r="G2" s="32" t="s">
        <v>305</v>
      </c>
      <c r="H2" s="94" t="s">
        <v>306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5"/>
      <c r="AA2" s="40"/>
      <c r="AB2" s="40"/>
      <c r="AC2" s="40"/>
      <c r="AD2" s="40"/>
      <c r="AE2" s="40"/>
      <c r="AF2" s="40"/>
      <c r="AG2" s="40"/>
      <c r="AH2" s="40"/>
      <c r="AI2" s="40"/>
    </row>
    <row r="3">
      <c r="A3" s="32" t="s">
        <v>309</v>
      </c>
      <c r="B3" s="32" t="s">
        <v>301</v>
      </c>
      <c r="C3" s="32" t="s">
        <v>262</v>
      </c>
      <c r="D3" s="87" t="s">
        <v>310</v>
      </c>
      <c r="E3" s="95" t="s">
        <v>303</v>
      </c>
      <c r="F3" s="85" t="s">
        <v>304</v>
      </c>
      <c r="G3" s="32" t="s">
        <v>305</v>
      </c>
      <c r="H3" s="94" t="s">
        <v>306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5"/>
      <c r="AA3" s="40"/>
      <c r="AB3" s="40"/>
      <c r="AC3" s="40"/>
      <c r="AD3" s="40"/>
      <c r="AE3" s="40"/>
      <c r="AF3" s="40"/>
      <c r="AG3" s="40"/>
      <c r="AH3" s="40"/>
      <c r="AI3" s="40"/>
    </row>
    <row r="4">
      <c r="A4" s="32" t="s">
        <v>311</v>
      </c>
      <c r="B4" s="32" t="s">
        <v>301</v>
      </c>
      <c r="C4" s="32" t="s">
        <v>262</v>
      </c>
      <c r="D4" s="32"/>
      <c r="E4" s="95" t="s">
        <v>303</v>
      </c>
      <c r="F4" s="85" t="s">
        <v>304</v>
      </c>
      <c r="G4" s="32" t="s">
        <v>305</v>
      </c>
      <c r="H4" s="94" t="s">
        <v>312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5"/>
      <c r="AA4" s="40"/>
      <c r="AB4" s="40"/>
      <c r="AC4" s="40"/>
      <c r="AD4" s="40"/>
      <c r="AE4" s="40"/>
      <c r="AF4" s="40"/>
      <c r="AG4" s="40"/>
      <c r="AH4" s="40"/>
      <c r="AI4" s="40"/>
    </row>
    <row r="5">
      <c r="A5" s="32" t="s">
        <v>313</v>
      </c>
      <c r="B5" s="32" t="s">
        <v>301</v>
      </c>
      <c r="C5" s="32" t="s">
        <v>262</v>
      </c>
      <c r="D5" s="32"/>
      <c r="E5" s="95" t="s">
        <v>303</v>
      </c>
      <c r="F5" s="85" t="s">
        <v>304</v>
      </c>
      <c r="G5" s="32" t="s">
        <v>305</v>
      </c>
      <c r="H5" s="94" t="s">
        <v>314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5"/>
      <c r="AA5" s="40"/>
      <c r="AB5" s="40"/>
      <c r="AC5" s="40"/>
      <c r="AD5" s="40"/>
      <c r="AE5" s="40"/>
      <c r="AF5" s="40"/>
      <c r="AG5" s="40"/>
      <c r="AH5" s="40"/>
      <c r="AI5" s="40"/>
    </row>
    <row r="6">
      <c r="A6" s="32" t="s">
        <v>315</v>
      </c>
      <c r="B6" s="32" t="s">
        <v>301</v>
      </c>
      <c r="C6" s="32" t="s">
        <v>112</v>
      </c>
      <c r="D6" s="32"/>
      <c r="E6" s="94" t="s">
        <v>317</v>
      </c>
      <c r="F6" s="86" t="s">
        <v>318</v>
      </c>
      <c r="G6" s="94" t="s">
        <v>319</v>
      </c>
      <c r="H6" s="94" t="s">
        <v>320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5"/>
      <c r="AA6" s="40"/>
      <c r="AB6" s="40"/>
      <c r="AC6" s="40"/>
      <c r="AD6" s="40"/>
      <c r="AE6" s="40"/>
      <c r="AF6" s="40"/>
      <c r="AG6" s="40"/>
      <c r="AH6" s="40"/>
      <c r="AI6" s="40"/>
    </row>
    <row r="7">
      <c r="A7" s="32" t="s">
        <v>321</v>
      </c>
      <c r="B7" s="32" t="s">
        <v>301</v>
      </c>
      <c r="C7" s="32" t="s">
        <v>112</v>
      </c>
      <c r="D7" s="32"/>
      <c r="E7" s="94" t="s">
        <v>322</v>
      </c>
      <c r="F7" s="96" t="s">
        <v>323</v>
      </c>
      <c r="G7" s="94" t="s">
        <v>324</v>
      </c>
      <c r="H7" s="94" t="s">
        <v>325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5"/>
      <c r="AA7" s="40"/>
      <c r="AB7" s="40"/>
      <c r="AC7" s="40"/>
      <c r="AD7" s="40"/>
      <c r="AE7" s="40"/>
      <c r="AF7" s="40"/>
      <c r="AG7" s="40"/>
      <c r="AH7" s="40"/>
      <c r="AI7" s="40"/>
    </row>
    <row r="8">
      <c r="A8" s="32" t="s">
        <v>326</v>
      </c>
      <c r="B8" s="32" t="s">
        <v>301</v>
      </c>
      <c r="C8" s="32" t="s">
        <v>112</v>
      </c>
      <c r="D8" s="32"/>
      <c r="E8" s="94" t="s">
        <v>327</v>
      </c>
      <c r="F8" s="96" t="s">
        <v>328</v>
      </c>
      <c r="G8" s="94" t="s">
        <v>329</v>
      </c>
      <c r="H8" s="94" t="s">
        <v>330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5"/>
      <c r="AA8" s="40"/>
      <c r="AB8" s="40"/>
      <c r="AC8" s="40"/>
      <c r="AD8" s="40"/>
      <c r="AE8" s="40"/>
      <c r="AF8" s="40"/>
      <c r="AG8" s="40"/>
      <c r="AH8" s="40"/>
      <c r="AI8" s="40"/>
    </row>
    <row r="9">
      <c r="A9" s="32" t="s">
        <v>331</v>
      </c>
      <c r="B9" s="32" t="s">
        <v>301</v>
      </c>
      <c r="C9" s="32" t="s">
        <v>332</v>
      </c>
      <c r="D9" s="32"/>
      <c r="E9" s="95" t="s">
        <v>303</v>
      </c>
      <c r="F9" s="85" t="s">
        <v>304</v>
      </c>
      <c r="G9" s="32" t="s">
        <v>305</v>
      </c>
      <c r="H9" s="97" t="s">
        <v>333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5"/>
      <c r="AA9" s="40"/>
      <c r="AB9" s="40"/>
      <c r="AC9" s="40"/>
      <c r="AD9" s="40"/>
      <c r="AE9" s="40"/>
      <c r="AF9" s="40"/>
      <c r="AG9" s="40"/>
      <c r="AH9" s="40"/>
      <c r="AI9" s="40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0"/>
      <c r="AB10" s="40"/>
      <c r="AC10" s="40"/>
      <c r="AD10" s="40"/>
      <c r="AE10" s="40"/>
      <c r="AF10" s="40"/>
      <c r="AG10" s="40"/>
      <c r="AH10" s="40"/>
      <c r="AI10" s="40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0"/>
      <c r="AB11" s="40"/>
      <c r="AC11" s="40"/>
      <c r="AD11" s="40"/>
      <c r="AE11" s="40"/>
      <c r="AF11" s="40"/>
      <c r="AG11" s="40"/>
      <c r="AH11" s="40"/>
      <c r="AI11" s="40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0"/>
      <c r="AB12" s="40"/>
      <c r="AC12" s="40"/>
      <c r="AD12" s="40"/>
      <c r="AE12" s="40"/>
      <c r="AF12" s="40"/>
      <c r="AG12" s="40"/>
      <c r="AH12" s="40"/>
      <c r="AI12" s="40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0"/>
      <c r="AB13" s="40"/>
      <c r="AC13" s="40"/>
      <c r="AD13" s="40"/>
      <c r="AE13" s="40"/>
      <c r="AF13" s="40"/>
      <c r="AG13" s="40"/>
      <c r="AH13" s="40"/>
      <c r="AI13" s="40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0"/>
      <c r="AB14" s="40"/>
      <c r="AC14" s="40"/>
      <c r="AD14" s="40"/>
      <c r="AE14" s="40"/>
      <c r="AF14" s="40"/>
      <c r="AG14" s="40"/>
      <c r="AH14" s="40"/>
      <c r="AI14" s="40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0"/>
      <c r="AB15" s="40"/>
      <c r="AC15" s="40"/>
      <c r="AD15" s="40"/>
      <c r="AE15" s="40"/>
      <c r="AF15" s="40"/>
      <c r="AG15" s="40"/>
      <c r="AH15" s="40"/>
      <c r="AI15" s="40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0"/>
      <c r="AB16" s="40"/>
      <c r="AC16" s="40"/>
      <c r="AD16" s="40"/>
      <c r="AE16" s="40"/>
      <c r="AF16" s="40"/>
      <c r="AG16" s="40"/>
      <c r="AH16" s="40"/>
      <c r="AI16" s="40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0"/>
      <c r="AB17" s="40"/>
      <c r="AC17" s="40"/>
      <c r="AD17" s="40"/>
      <c r="AE17" s="40"/>
      <c r="AF17" s="40"/>
      <c r="AG17" s="40"/>
      <c r="AH17" s="40"/>
      <c r="AI17" s="4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40"/>
      <c r="AB18" s="40"/>
      <c r="AC18" s="40"/>
      <c r="AD18" s="40"/>
      <c r="AE18" s="40"/>
      <c r="AF18" s="40"/>
      <c r="AG18" s="40"/>
      <c r="AH18" s="40"/>
      <c r="AI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</row>
  </sheetData>
  <hyperlinks>
    <hyperlink r:id="rId1" ref="D2"/>
    <hyperlink r:id="rId2" ref="D3"/>
    <hyperlink r:id="rId3" ref="F6"/>
    <hyperlink r:id="rId4" ref="F7"/>
    <hyperlink r:id="rId5" ref="F8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1.29"/>
    <col customWidth="1" min="3" max="3" width="11.86"/>
    <col customWidth="1" min="4" max="4" width="8.71"/>
    <col customWidth="1" min="5" max="5" width="16.86"/>
    <col customWidth="1" min="6" max="6" width="35.0"/>
    <col customWidth="1" min="7" max="7" width="20.14"/>
    <col customWidth="1" min="8" max="8" width="45.43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25</v>
      </c>
      <c r="G1" s="98" t="s">
        <v>6</v>
      </c>
      <c r="H1" s="98" t="s">
        <v>7</v>
      </c>
      <c r="I1" s="98" t="s">
        <v>8</v>
      </c>
      <c r="J1" s="98" t="s">
        <v>9</v>
      </c>
      <c r="K1" s="99" t="s">
        <v>10</v>
      </c>
      <c r="L1" s="98" t="s">
        <v>11</v>
      </c>
      <c r="M1" s="99" t="s">
        <v>12</v>
      </c>
      <c r="N1" s="99" t="s">
        <v>13</v>
      </c>
      <c r="O1" s="99" t="s">
        <v>14</v>
      </c>
      <c r="P1" s="99" t="s">
        <v>15</v>
      </c>
      <c r="Q1" s="99" t="s">
        <v>16</v>
      </c>
      <c r="R1" s="99" t="s">
        <v>17</v>
      </c>
      <c r="S1" s="99" t="s">
        <v>18</v>
      </c>
      <c r="T1" s="98" t="s">
        <v>19</v>
      </c>
      <c r="U1" s="100" t="s">
        <v>20</v>
      </c>
      <c r="V1" s="99" t="s">
        <v>21</v>
      </c>
      <c r="W1" s="99" t="s">
        <v>22</v>
      </c>
      <c r="X1" s="99" t="s">
        <v>23</v>
      </c>
      <c r="Y1" s="99" t="s">
        <v>24</v>
      </c>
      <c r="Z1" s="93"/>
      <c r="AA1" s="40"/>
      <c r="AB1" s="40"/>
      <c r="AC1" s="40"/>
      <c r="AD1" s="40"/>
      <c r="AE1" s="40"/>
      <c r="AF1" s="40"/>
      <c r="AG1" s="40"/>
      <c r="AH1" s="40"/>
      <c r="AI1" s="40"/>
    </row>
    <row r="2">
      <c r="A2" s="101" t="s">
        <v>334</v>
      </c>
      <c r="B2" s="101" t="s">
        <v>335</v>
      </c>
      <c r="C2" s="101" t="s">
        <v>112</v>
      </c>
      <c r="D2" s="101"/>
      <c r="E2" s="102" t="s">
        <v>336</v>
      </c>
      <c r="F2" s="102" t="s">
        <v>337</v>
      </c>
      <c r="G2" s="101" t="s">
        <v>338</v>
      </c>
      <c r="H2" s="102" t="s">
        <v>339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5"/>
      <c r="AA2" s="40"/>
      <c r="AB2" s="40"/>
      <c r="AC2" s="40"/>
      <c r="AD2" s="40"/>
      <c r="AE2" s="40"/>
      <c r="AF2" s="40"/>
      <c r="AG2" s="40"/>
      <c r="AH2" s="40"/>
      <c r="AI2" s="40"/>
    </row>
    <row r="3">
      <c r="A3" s="101" t="s">
        <v>340</v>
      </c>
      <c r="B3" s="101" t="s">
        <v>335</v>
      </c>
      <c r="C3" s="101" t="s">
        <v>112</v>
      </c>
      <c r="D3" s="101"/>
      <c r="E3" s="102" t="s">
        <v>341</v>
      </c>
      <c r="F3" s="102" t="s">
        <v>342</v>
      </c>
      <c r="G3" s="101" t="s">
        <v>343</v>
      </c>
      <c r="H3" s="102" t="s">
        <v>344</v>
      </c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5"/>
      <c r="AA3" s="40"/>
      <c r="AB3" s="40"/>
      <c r="AC3" s="40"/>
      <c r="AD3" s="40"/>
      <c r="AE3" s="40"/>
      <c r="AF3" s="40"/>
      <c r="AG3" s="40"/>
      <c r="AH3" s="40"/>
      <c r="AI3" s="40"/>
    </row>
    <row r="4">
      <c r="A4" s="101" t="s">
        <v>345</v>
      </c>
      <c r="B4" s="101" t="s">
        <v>335</v>
      </c>
      <c r="C4" s="101" t="s">
        <v>112</v>
      </c>
      <c r="D4" s="101"/>
      <c r="E4" s="102" t="s">
        <v>346</v>
      </c>
      <c r="F4" s="102" t="s">
        <v>347</v>
      </c>
      <c r="G4" s="102" t="s">
        <v>348</v>
      </c>
      <c r="H4" s="102" t="s">
        <v>349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5"/>
      <c r="AA4" s="40"/>
      <c r="AB4" s="40"/>
      <c r="AC4" s="40"/>
      <c r="AD4" s="40"/>
      <c r="AE4" s="40"/>
      <c r="AF4" s="40"/>
      <c r="AG4" s="40"/>
      <c r="AH4" s="40"/>
      <c r="AI4" s="40"/>
    </row>
    <row r="5">
      <c r="A5" s="101" t="s">
        <v>350</v>
      </c>
      <c r="B5" s="101" t="s">
        <v>335</v>
      </c>
      <c r="C5" s="101" t="s">
        <v>112</v>
      </c>
      <c r="D5" s="101"/>
      <c r="E5" s="102" t="s">
        <v>351</v>
      </c>
      <c r="F5" s="102" t="s">
        <v>352</v>
      </c>
      <c r="G5" s="102" t="s">
        <v>353</v>
      </c>
      <c r="H5" s="102" t="s">
        <v>354</v>
      </c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5"/>
      <c r="AA5" s="40"/>
      <c r="AB5" s="40"/>
      <c r="AC5" s="40"/>
      <c r="AD5" s="40"/>
      <c r="AE5" s="40"/>
      <c r="AF5" s="40"/>
      <c r="AG5" s="40"/>
      <c r="AH5" s="40"/>
      <c r="AI5" s="40"/>
    </row>
    <row r="6">
      <c r="A6" s="101" t="s">
        <v>355</v>
      </c>
      <c r="B6" s="101" t="s">
        <v>335</v>
      </c>
      <c r="C6" s="101" t="s">
        <v>112</v>
      </c>
      <c r="D6" s="101"/>
      <c r="E6" s="102" t="s">
        <v>356</v>
      </c>
      <c r="F6" s="102" t="s">
        <v>357</v>
      </c>
      <c r="G6" s="101" t="s">
        <v>358</v>
      </c>
      <c r="H6" s="102" t="s">
        <v>359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5"/>
      <c r="AA6" s="40"/>
      <c r="AB6" s="40"/>
      <c r="AC6" s="40"/>
      <c r="AD6" s="40"/>
      <c r="AE6" s="40"/>
      <c r="AF6" s="40"/>
      <c r="AG6" s="40"/>
      <c r="AH6" s="40"/>
      <c r="AI6" s="40"/>
    </row>
    <row r="7">
      <c r="A7" s="101" t="s">
        <v>360</v>
      </c>
      <c r="B7" s="101" t="s">
        <v>335</v>
      </c>
      <c r="C7" s="101" t="s">
        <v>3381</v>
      </c>
      <c r="D7" s="101"/>
      <c r="E7" s="102" t="s">
        <v>361</v>
      </c>
      <c r="F7" s="102" t="s">
        <v>362</v>
      </c>
      <c r="G7" s="101" t="s">
        <v>363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5"/>
      <c r="AA7" s="40"/>
      <c r="AB7" s="40"/>
      <c r="AC7" s="40"/>
      <c r="AD7" s="40"/>
      <c r="AE7" s="40"/>
      <c r="AF7" s="40"/>
      <c r="AG7" s="40"/>
      <c r="AH7" s="40"/>
      <c r="AI7" s="40"/>
    </row>
    <row r="8">
      <c r="A8" s="101" t="s">
        <v>364</v>
      </c>
      <c r="B8" s="101" t="s">
        <v>335</v>
      </c>
      <c r="C8" s="101" t="s">
        <v>3360</v>
      </c>
      <c r="D8" s="101"/>
      <c r="E8" s="102" t="s">
        <v>365</v>
      </c>
      <c r="F8" s="102" t="s">
        <v>366</v>
      </c>
      <c r="G8" s="101" t="s">
        <v>367</v>
      </c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5"/>
      <c r="AA8" s="40"/>
      <c r="AB8" s="40"/>
      <c r="AC8" s="40"/>
      <c r="AD8" s="40"/>
      <c r="AE8" s="40"/>
      <c r="AF8" s="40"/>
      <c r="AG8" s="40"/>
      <c r="AH8" s="40"/>
      <c r="AI8" s="40"/>
    </row>
    <row r="9">
      <c r="A9" s="101" t="s">
        <v>368</v>
      </c>
      <c r="B9" s="101" t="s">
        <v>335</v>
      </c>
      <c r="C9" s="101" t="s">
        <v>262</v>
      </c>
      <c r="D9" s="101"/>
      <c r="E9" s="102" t="s">
        <v>369</v>
      </c>
      <c r="F9" s="103" t="s">
        <v>370</v>
      </c>
      <c r="G9" s="102" t="s">
        <v>371</v>
      </c>
      <c r="H9" s="102" t="s">
        <v>372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5"/>
      <c r="AA9" s="40"/>
      <c r="AB9" s="40"/>
      <c r="AC9" s="40"/>
      <c r="AD9" s="40"/>
      <c r="AE9" s="40"/>
      <c r="AF9" s="40"/>
      <c r="AG9" s="40"/>
      <c r="AH9" s="40"/>
      <c r="AI9" s="40"/>
    </row>
    <row r="10">
      <c r="A10" s="101" t="s">
        <v>373</v>
      </c>
      <c r="B10" s="101" t="s">
        <v>335</v>
      </c>
      <c r="C10" s="101" t="s">
        <v>262</v>
      </c>
      <c r="D10" s="101"/>
      <c r="E10" s="102" t="s">
        <v>374</v>
      </c>
      <c r="F10" s="103" t="s">
        <v>375</v>
      </c>
      <c r="G10" s="102" t="s">
        <v>376</v>
      </c>
      <c r="H10" s="102" t="s">
        <v>377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5"/>
      <c r="AA10" s="40"/>
      <c r="AB10" s="40"/>
      <c r="AC10" s="40"/>
      <c r="AD10" s="40"/>
      <c r="AE10" s="40"/>
      <c r="AF10" s="40"/>
      <c r="AG10" s="40"/>
      <c r="AH10" s="40"/>
      <c r="AI10" s="40"/>
    </row>
    <row r="11">
      <c r="A11" s="101" t="s">
        <v>378</v>
      </c>
      <c r="B11" s="101" t="s">
        <v>335</v>
      </c>
      <c r="C11" s="101" t="s">
        <v>262</v>
      </c>
      <c r="D11" s="101"/>
      <c r="E11" s="102" t="s">
        <v>379</v>
      </c>
      <c r="F11" s="103" t="s">
        <v>380</v>
      </c>
      <c r="G11" s="101"/>
      <c r="H11" s="102" t="s">
        <v>381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5"/>
      <c r="AA11" s="40"/>
      <c r="AB11" s="40"/>
      <c r="AC11" s="40"/>
      <c r="AD11" s="40"/>
      <c r="AE11" s="40"/>
      <c r="AF11" s="40"/>
      <c r="AG11" s="40"/>
      <c r="AH11" s="40"/>
      <c r="AI11" s="40"/>
    </row>
    <row r="12">
      <c r="A12" s="101" t="s">
        <v>382</v>
      </c>
      <c r="B12" s="101" t="s">
        <v>335</v>
      </c>
      <c r="C12" s="101" t="s">
        <v>211</v>
      </c>
      <c r="D12" s="101"/>
      <c r="E12" s="102" t="s">
        <v>383</v>
      </c>
      <c r="F12" s="102" t="s">
        <v>384</v>
      </c>
      <c r="G12" s="101" t="s">
        <v>385</v>
      </c>
      <c r="H12" s="102" t="s">
        <v>386</v>
      </c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5"/>
      <c r="AA12" s="40"/>
      <c r="AB12" s="40"/>
      <c r="AC12" s="40"/>
      <c r="AD12" s="40"/>
      <c r="AE12" s="40"/>
      <c r="AF12" s="40"/>
      <c r="AG12" s="40"/>
      <c r="AH12" s="40"/>
      <c r="AI12" s="40"/>
    </row>
    <row r="13">
      <c r="A13" s="101" t="s">
        <v>387</v>
      </c>
      <c r="B13" s="101" t="s">
        <v>335</v>
      </c>
      <c r="C13" s="101" t="s">
        <v>3407</v>
      </c>
      <c r="D13" s="101"/>
      <c r="E13" s="104">
        <v>5.6690174E7</v>
      </c>
      <c r="F13" s="105" t="s">
        <v>390</v>
      </c>
      <c r="G13" s="101" t="s">
        <v>391</v>
      </c>
      <c r="H13" s="102" t="s">
        <v>392</v>
      </c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5"/>
      <c r="AA13" s="40"/>
      <c r="AB13" s="40"/>
      <c r="AC13" s="40"/>
      <c r="AD13" s="40"/>
      <c r="AE13" s="40"/>
      <c r="AF13" s="40"/>
      <c r="AG13" s="40"/>
      <c r="AH13" s="40"/>
      <c r="AI13" s="40"/>
    </row>
    <row r="14">
      <c r="A14" s="101" t="s">
        <v>393</v>
      </c>
      <c r="B14" s="101" t="s">
        <v>335</v>
      </c>
      <c r="C14" s="101" t="s">
        <v>3407</v>
      </c>
      <c r="D14" s="101"/>
      <c r="E14" s="102" t="s">
        <v>395</v>
      </c>
      <c r="F14" s="103" t="s">
        <v>396</v>
      </c>
      <c r="G14" s="101"/>
      <c r="H14" s="104" t="s">
        <v>397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5"/>
      <c r="AA14" s="40"/>
      <c r="AB14" s="40"/>
      <c r="AC14" s="40"/>
      <c r="AD14" s="40"/>
      <c r="AE14" s="40"/>
      <c r="AF14" s="40"/>
      <c r="AG14" s="40"/>
      <c r="AH14" s="40"/>
      <c r="AI14" s="40"/>
    </row>
    <row r="15">
      <c r="A15" s="5"/>
      <c r="B15" s="5"/>
      <c r="C15" s="5"/>
      <c r="D15" s="5"/>
      <c r="E15" s="5"/>
      <c r="F15" s="5"/>
      <c r="G15" s="5"/>
      <c r="H15" s="10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0"/>
      <c r="AB15" s="40"/>
      <c r="AC15" s="40"/>
      <c r="AD15" s="40"/>
      <c r="AE15" s="40"/>
      <c r="AF15" s="40"/>
      <c r="AG15" s="40"/>
      <c r="AH15" s="40"/>
      <c r="AI15" s="40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0"/>
      <c r="AB16" s="40"/>
      <c r="AC16" s="40"/>
      <c r="AD16" s="40"/>
      <c r="AE16" s="40"/>
      <c r="AF16" s="40"/>
      <c r="AG16" s="40"/>
      <c r="AH16" s="40"/>
      <c r="AI16" s="40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0"/>
      <c r="AB17" s="40"/>
      <c r="AC17" s="40"/>
      <c r="AD17" s="40"/>
      <c r="AE17" s="40"/>
      <c r="AF17" s="40"/>
      <c r="AG17" s="40"/>
      <c r="AH17" s="40"/>
      <c r="AI17" s="4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40"/>
      <c r="AB18" s="40"/>
      <c r="AC18" s="40"/>
      <c r="AD18" s="40"/>
      <c r="AE18" s="40"/>
      <c r="AF18" s="40"/>
      <c r="AG18" s="40"/>
      <c r="AH18" s="40"/>
      <c r="AI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</row>
  </sheetData>
  <hyperlinks>
    <hyperlink r:id="rId1" ref="F9"/>
    <hyperlink r:id="rId2" ref="F10"/>
    <hyperlink r:id="rId3" ref="F11"/>
    <hyperlink r:id="rId4" ref="F13"/>
    <hyperlink r:id="rId5" ref="F14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7.0"/>
    <col customWidth="1" min="2" max="2" width="11.29"/>
    <col customWidth="1" min="3" max="3" width="12.0"/>
    <col customWidth="1" min="4" max="4" width="551.71"/>
    <col customWidth="1" min="5" max="5" width="23.0"/>
    <col customWidth="1" min="6" max="6" width="24.0"/>
    <col customWidth="1" min="7" max="7" width="16.0"/>
    <col customWidth="1" min="8" max="8" width="51.29"/>
    <col customWidth="1" min="9" max="9" width="17.86"/>
    <col customWidth="1" min="10" max="10" width="45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3" width="13.0"/>
    <col customWidth="1" min="24" max="24" width="14.14"/>
    <col customWidth="1" min="25" max="25" width="30.71"/>
    <col customWidth="1" min="26" max="26" width="48.43"/>
  </cols>
  <sheetData>
    <row r="1">
      <c r="A1" s="98" t="s">
        <v>0</v>
      </c>
      <c r="B1" s="98" t="s">
        <v>1</v>
      </c>
      <c r="C1" s="98" t="s">
        <v>2</v>
      </c>
      <c r="D1" s="107" t="s">
        <v>3</v>
      </c>
      <c r="E1" s="98" t="s">
        <v>4</v>
      </c>
      <c r="F1" s="98" t="s">
        <v>25</v>
      </c>
      <c r="G1" s="98" t="s">
        <v>6</v>
      </c>
      <c r="H1" s="98" t="s">
        <v>7</v>
      </c>
      <c r="I1" s="98" t="s">
        <v>8</v>
      </c>
      <c r="J1" s="98" t="s">
        <v>9</v>
      </c>
      <c r="K1" s="99" t="s">
        <v>10</v>
      </c>
      <c r="L1" s="98" t="s">
        <v>11</v>
      </c>
      <c r="M1" s="99" t="s">
        <v>12</v>
      </c>
      <c r="N1" s="99" t="s">
        <v>13</v>
      </c>
      <c r="O1" s="99" t="s">
        <v>14</v>
      </c>
      <c r="P1" s="99" t="s">
        <v>15</v>
      </c>
      <c r="Q1" s="99" t="s">
        <v>16</v>
      </c>
      <c r="R1" s="99" t="s">
        <v>17</v>
      </c>
      <c r="S1" s="99" t="s">
        <v>18</v>
      </c>
      <c r="T1" s="98" t="s">
        <v>19</v>
      </c>
      <c r="U1" s="100" t="s">
        <v>20</v>
      </c>
      <c r="V1" s="99" t="s">
        <v>21</v>
      </c>
      <c r="W1" s="99" t="s">
        <v>22</v>
      </c>
      <c r="X1" s="99" t="s">
        <v>23</v>
      </c>
      <c r="Y1" s="99" t="s">
        <v>24</v>
      </c>
      <c r="Z1" s="108"/>
      <c r="AA1" s="109"/>
      <c r="AB1" s="109"/>
      <c r="AC1" s="109"/>
      <c r="AD1" s="109"/>
      <c r="AE1" s="109"/>
      <c r="AF1" s="109"/>
      <c r="AG1" s="109"/>
      <c r="AH1" s="109"/>
      <c r="AI1" s="109"/>
    </row>
    <row r="2">
      <c r="A2" s="101" t="s">
        <v>398</v>
      </c>
      <c r="B2" s="101" t="s">
        <v>399</v>
      </c>
      <c r="C2" s="101" t="s">
        <v>400</v>
      </c>
      <c r="D2" s="38" t="s">
        <v>401</v>
      </c>
      <c r="E2" s="101" t="s">
        <v>402</v>
      </c>
      <c r="F2" s="110" t="s">
        <v>403</v>
      </c>
      <c r="G2" s="111" t="s">
        <v>404</v>
      </c>
      <c r="H2" s="111" t="s">
        <v>405</v>
      </c>
      <c r="I2" s="101"/>
      <c r="J2" s="101" t="s">
        <v>3408</v>
      </c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12"/>
      <c r="AA2" s="109"/>
      <c r="AB2" s="109"/>
      <c r="AC2" s="109"/>
      <c r="AD2" s="109"/>
      <c r="AE2" s="109"/>
      <c r="AF2" s="109"/>
      <c r="AG2" s="109"/>
      <c r="AH2" s="109"/>
      <c r="AI2" s="109"/>
    </row>
    <row r="3">
      <c r="A3" s="111" t="s">
        <v>406</v>
      </c>
      <c r="B3" s="101" t="s">
        <v>399</v>
      </c>
      <c r="C3" s="101" t="s">
        <v>3407</v>
      </c>
      <c r="D3" s="113" t="s">
        <v>407</v>
      </c>
      <c r="E3" s="111" t="s">
        <v>408</v>
      </c>
      <c r="F3" s="101" t="s">
        <v>409</v>
      </c>
      <c r="G3" s="101" t="s">
        <v>410</v>
      </c>
      <c r="H3" s="101" t="s">
        <v>411</v>
      </c>
      <c r="I3" s="101"/>
      <c r="J3" s="101" t="s">
        <v>3409</v>
      </c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 t="s">
        <v>412</v>
      </c>
      <c r="W3" s="101" t="s">
        <v>413</v>
      </c>
      <c r="X3" s="101" t="s">
        <v>414</v>
      </c>
      <c r="Y3" s="101" t="s">
        <v>415</v>
      </c>
      <c r="Z3" s="112"/>
      <c r="AA3" s="109"/>
      <c r="AB3" s="109"/>
      <c r="AC3" s="109"/>
      <c r="AD3" s="109"/>
      <c r="AE3" s="109"/>
      <c r="AF3" s="109"/>
      <c r="AG3" s="109"/>
      <c r="AH3" s="109"/>
      <c r="AI3" s="109"/>
    </row>
    <row r="4">
      <c r="A4" s="111" t="s">
        <v>416</v>
      </c>
      <c r="B4" s="101" t="s">
        <v>399</v>
      </c>
      <c r="C4" s="101" t="s">
        <v>415</v>
      </c>
      <c r="D4" s="113" t="s">
        <v>407</v>
      </c>
      <c r="E4" s="111" t="s">
        <v>408</v>
      </c>
      <c r="F4" s="101" t="s">
        <v>409</v>
      </c>
      <c r="G4" s="101" t="s">
        <v>410</v>
      </c>
      <c r="H4" s="101" t="s">
        <v>411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 t="s">
        <v>414</v>
      </c>
      <c r="Y4" s="101" t="s">
        <v>415</v>
      </c>
      <c r="Z4" s="112"/>
      <c r="AA4" s="109"/>
      <c r="AB4" s="109"/>
      <c r="AC4" s="109"/>
      <c r="AD4" s="109"/>
      <c r="AE4" s="109"/>
      <c r="AF4" s="109"/>
      <c r="AG4" s="109"/>
      <c r="AH4" s="109"/>
      <c r="AI4" s="109"/>
    </row>
    <row r="5">
      <c r="A5" s="101" t="s">
        <v>417</v>
      </c>
      <c r="B5" s="101" t="s">
        <v>399</v>
      </c>
      <c r="C5" s="101" t="s">
        <v>262</v>
      </c>
      <c r="D5" s="113" t="s">
        <v>418</v>
      </c>
      <c r="E5" s="111" t="s">
        <v>419</v>
      </c>
      <c r="F5" s="110" t="s">
        <v>420</v>
      </c>
      <c r="G5" s="111" t="s">
        <v>421</v>
      </c>
      <c r="H5" s="111" t="s">
        <v>422</v>
      </c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12"/>
      <c r="AA5" s="109"/>
      <c r="AB5" s="109"/>
      <c r="AC5" s="109"/>
      <c r="AD5" s="109"/>
      <c r="AE5" s="109"/>
      <c r="AF5" s="109"/>
      <c r="AG5" s="109"/>
      <c r="AH5" s="109"/>
      <c r="AI5" s="109"/>
    </row>
    <row r="6">
      <c r="A6" s="101" t="s">
        <v>423</v>
      </c>
      <c r="B6" s="101" t="s">
        <v>399</v>
      </c>
      <c r="C6" s="101" t="s">
        <v>262</v>
      </c>
      <c r="D6" s="113" t="s">
        <v>424</v>
      </c>
      <c r="E6" s="111" t="s">
        <v>425</v>
      </c>
      <c r="F6" s="110" t="s">
        <v>426</v>
      </c>
      <c r="G6" s="111" t="s">
        <v>427</v>
      </c>
      <c r="H6" s="111" t="s">
        <v>428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5"/>
      <c r="AA6" s="40"/>
      <c r="AB6" s="40"/>
      <c r="AC6" s="40"/>
      <c r="AD6" s="40"/>
      <c r="AE6" s="40"/>
      <c r="AF6" s="40"/>
      <c r="AG6" s="40"/>
      <c r="AH6" s="40"/>
      <c r="AI6" s="40"/>
    </row>
    <row r="7">
      <c r="A7" s="101" t="s">
        <v>429</v>
      </c>
      <c r="B7" s="101" t="s">
        <v>399</v>
      </c>
      <c r="C7" s="101" t="s">
        <v>262</v>
      </c>
      <c r="D7" s="113" t="s">
        <v>430</v>
      </c>
      <c r="E7" s="111" t="s">
        <v>431</v>
      </c>
      <c r="F7" s="110" t="s">
        <v>432</v>
      </c>
      <c r="G7" s="111" t="s">
        <v>433</v>
      </c>
      <c r="H7" s="111" t="s">
        <v>434</v>
      </c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5"/>
      <c r="AA7" s="40"/>
      <c r="AB7" s="40"/>
      <c r="AC7" s="40"/>
      <c r="AD7" s="40"/>
      <c r="AE7" s="40"/>
      <c r="AF7" s="40"/>
      <c r="AG7" s="40"/>
      <c r="AH7" s="40"/>
      <c r="AI7" s="40"/>
    </row>
    <row r="8">
      <c r="A8" s="114" t="s">
        <v>435</v>
      </c>
      <c r="B8" s="101" t="s">
        <v>399</v>
      </c>
      <c r="C8" s="101" t="s">
        <v>3410</v>
      </c>
      <c r="D8" s="113" t="s">
        <v>436</v>
      </c>
      <c r="E8" s="115" t="s">
        <v>437</v>
      </c>
      <c r="F8" s="105" t="s">
        <v>438</v>
      </c>
      <c r="G8" s="115" t="s">
        <v>439</v>
      </c>
      <c r="H8" s="115" t="s">
        <v>440</v>
      </c>
      <c r="I8" s="101"/>
      <c r="J8" s="115" t="s">
        <v>3411</v>
      </c>
      <c r="K8" s="101"/>
      <c r="L8" s="116" t="s">
        <v>441</v>
      </c>
      <c r="M8" s="101" t="s">
        <v>442</v>
      </c>
      <c r="N8" s="101" t="s">
        <v>412</v>
      </c>
      <c r="O8" s="101" t="s">
        <v>412</v>
      </c>
      <c r="P8" s="101" t="s">
        <v>412</v>
      </c>
      <c r="Q8" s="101"/>
      <c r="R8" s="101"/>
      <c r="S8" s="101"/>
      <c r="T8" s="101"/>
      <c r="U8" s="101"/>
      <c r="V8" s="101" t="s">
        <v>413</v>
      </c>
      <c r="W8" s="101" t="s">
        <v>413</v>
      </c>
      <c r="X8" s="101" t="s">
        <v>444</v>
      </c>
      <c r="Y8" s="101"/>
      <c r="Z8" s="115" t="s">
        <v>443</v>
      </c>
      <c r="AA8" s="101"/>
      <c r="AB8" s="101"/>
      <c r="AC8" s="101"/>
      <c r="AD8" s="101"/>
      <c r="AE8" s="101"/>
      <c r="AF8" s="101"/>
      <c r="AG8" s="101"/>
      <c r="AH8" s="101"/>
      <c r="AI8" s="101"/>
    </row>
    <row r="9">
      <c r="A9" s="114" t="s">
        <v>445</v>
      </c>
      <c r="B9" s="101" t="s">
        <v>399</v>
      </c>
      <c r="C9" s="101" t="s">
        <v>3412</v>
      </c>
      <c r="D9" s="113" t="s">
        <v>436</v>
      </c>
      <c r="E9" s="117" t="s">
        <v>446</v>
      </c>
      <c r="F9" s="96" t="s">
        <v>447</v>
      </c>
      <c r="G9" s="101" t="s">
        <v>448</v>
      </c>
      <c r="H9" s="116" t="s">
        <v>449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</row>
    <row r="10">
      <c r="A10" s="115" t="s">
        <v>450</v>
      </c>
      <c r="B10" s="101" t="s">
        <v>399</v>
      </c>
      <c r="C10" s="101" t="s">
        <v>3413</v>
      </c>
      <c r="D10" s="113" t="s">
        <v>436</v>
      </c>
      <c r="E10" s="117" t="s">
        <v>451</v>
      </c>
      <c r="F10" s="96" t="s">
        <v>452</v>
      </c>
      <c r="G10" s="116" t="s">
        <v>453</v>
      </c>
      <c r="H10" s="116" t="s">
        <v>454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</row>
    <row r="11">
      <c r="A11" s="101" t="s">
        <v>455</v>
      </c>
      <c r="B11" s="101" t="s">
        <v>399</v>
      </c>
      <c r="C11" s="101" t="s">
        <v>3414</v>
      </c>
      <c r="D11" s="113" t="s">
        <v>456</v>
      </c>
      <c r="E11" s="101" t="s">
        <v>457</v>
      </c>
      <c r="F11" s="103" t="s">
        <v>458</v>
      </c>
      <c r="G11" s="101" t="s">
        <v>459</v>
      </c>
      <c r="H11" s="101" t="s">
        <v>460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 t="s">
        <v>461</v>
      </c>
      <c r="W11" s="101" t="s">
        <v>412</v>
      </c>
      <c r="X11" s="101" t="s">
        <v>412</v>
      </c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</row>
    <row r="12">
      <c r="A12" s="101" t="s">
        <v>462</v>
      </c>
      <c r="B12" s="101" t="s">
        <v>399</v>
      </c>
      <c r="C12" s="101" t="s">
        <v>3414</v>
      </c>
      <c r="D12" s="113" t="s">
        <v>463</v>
      </c>
      <c r="E12" s="101" t="s">
        <v>464</v>
      </c>
      <c r="F12" s="101" t="s">
        <v>465</v>
      </c>
      <c r="G12" s="101"/>
      <c r="H12" s="101" t="s">
        <v>466</v>
      </c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 t="s">
        <v>461</v>
      </c>
      <c r="W12" s="101" t="s">
        <v>412</v>
      </c>
      <c r="X12" s="101" t="s">
        <v>412</v>
      </c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</row>
    <row r="13">
      <c r="A13" s="101" t="s">
        <v>467</v>
      </c>
      <c r="B13" s="101" t="s">
        <v>399</v>
      </c>
      <c r="C13" s="101" t="s">
        <v>3414</v>
      </c>
      <c r="D13" s="113" t="s">
        <v>463</v>
      </c>
      <c r="E13" s="101" t="s">
        <v>468</v>
      </c>
      <c r="F13" s="103" t="s">
        <v>469</v>
      </c>
      <c r="G13" s="101"/>
      <c r="H13" s="101" t="s">
        <v>449</v>
      </c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 t="s">
        <v>461</v>
      </c>
      <c r="W13" s="101" t="s">
        <v>412</v>
      </c>
      <c r="X13" s="101" t="s">
        <v>412</v>
      </c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</row>
    <row r="14">
      <c r="A14" s="101" t="s">
        <v>470</v>
      </c>
      <c r="B14" s="101" t="s">
        <v>399</v>
      </c>
      <c r="C14" s="101" t="s">
        <v>3414</v>
      </c>
      <c r="D14" s="113" t="s">
        <v>463</v>
      </c>
      <c r="E14" s="101" t="s">
        <v>471</v>
      </c>
      <c r="F14" s="101" t="s">
        <v>472</v>
      </c>
      <c r="G14" s="101"/>
      <c r="H14" s="101" t="s">
        <v>473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 t="s">
        <v>461</v>
      </c>
      <c r="W14" s="101" t="s">
        <v>412</v>
      </c>
      <c r="X14" s="101" t="s">
        <v>412</v>
      </c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</row>
    <row r="15" ht="18.75" customHeight="1">
      <c r="A15" s="101" t="s">
        <v>474</v>
      </c>
      <c r="B15" s="101" t="s">
        <v>399</v>
      </c>
      <c r="C15" s="101" t="s">
        <v>3414</v>
      </c>
      <c r="D15" s="113" t="s">
        <v>475</v>
      </c>
      <c r="E15" s="101" t="s">
        <v>476</v>
      </c>
      <c r="F15" s="101" t="s">
        <v>477</v>
      </c>
      <c r="G15" s="101"/>
      <c r="H15" s="101" t="s">
        <v>428</v>
      </c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</row>
    <row r="16" ht="16.5" customHeight="1">
      <c r="A16" s="101" t="s">
        <v>478</v>
      </c>
      <c r="B16" s="101" t="s">
        <v>399</v>
      </c>
      <c r="C16" s="101" t="s">
        <v>3415</v>
      </c>
      <c r="D16" s="113" t="s">
        <v>479</v>
      </c>
      <c r="E16" s="101" t="s">
        <v>480</v>
      </c>
      <c r="F16" s="101" t="s">
        <v>481</v>
      </c>
      <c r="G16" s="101" t="s">
        <v>482</v>
      </c>
      <c r="H16" s="101" t="s">
        <v>483</v>
      </c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</row>
    <row r="17" ht="27.0" customHeight="1">
      <c r="A17" s="101" t="s">
        <v>484</v>
      </c>
      <c r="B17" s="101" t="s">
        <v>399</v>
      </c>
      <c r="C17" s="101" t="s">
        <v>415</v>
      </c>
      <c r="D17" s="113" t="s">
        <v>485</v>
      </c>
      <c r="E17" s="101" t="s">
        <v>480</v>
      </c>
      <c r="F17" s="101" t="s">
        <v>481</v>
      </c>
      <c r="G17" s="101" t="s">
        <v>482</v>
      </c>
      <c r="H17" s="101" t="s">
        <v>486</v>
      </c>
      <c r="I17" s="101"/>
      <c r="J17" s="101" t="s">
        <v>3416</v>
      </c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</row>
    <row r="18" ht="27.75" customHeight="1">
      <c r="A18" s="101" t="s">
        <v>487</v>
      </c>
      <c r="B18" s="101" t="s">
        <v>399</v>
      </c>
      <c r="C18" s="101" t="s">
        <v>3415</v>
      </c>
      <c r="D18" s="113" t="s">
        <v>488</v>
      </c>
      <c r="E18" s="101" t="s">
        <v>489</v>
      </c>
      <c r="F18" s="101" t="s">
        <v>490</v>
      </c>
      <c r="G18" s="101" t="s">
        <v>491</v>
      </c>
      <c r="H18" s="101" t="s">
        <v>492</v>
      </c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 t="s">
        <v>412</v>
      </c>
      <c r="X18" s="101" t="s">
        <v>412</v>
      </c>
      <c r="Y18" s="101" t="s">
        <v>415</v>
      </c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</row>
    <row r="19" ht="27.75" customHeight="1">
      <c r="A19" s="101" t="s">
        <v>493</v>
      </c>
      <c r="B19" s="101" t="s">
        <v>399</v>
      </c>
      <c r="C19" s="101" t="s">
        <v>415</v>
      </c>
      <c r="D19" s="113" t="s">
        <v>488</v>
      </c>
      <c r="E19" s="101" t="s">
        <v>489</v>
      </c>
      <c r="F19" s="101" t="s">
        <v>490</v>
      </c>
      <c r="G19" s="101" t="s">
        <v>491</v>
      </c>
      <c r="H19" s="101" t="s">
        <v>492</v>
      </c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 t="s">
        <v>412</v>
      </c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</row>
    <row r="20" ht="20.25" customHeight="1">
      <c r="A20" s="101" t="s">
        <v>494</v>
      </c>
      <c r="B20" s="101" t="s">
        <v>399</v>
      </c>
      <c r="C20" s="101" t="s">
        <v>3415</v>
      </c>
      <c r="D20" s="113" t="s">
        <v>495</v>
      </c>
      <c r="E20" s="101" t="s">
        <v>496</v>
      </c>
      <c r="F20" s="101"/>
      <c r="G20" s="101" t="s">
        <v>497</v>
      </c>
      <c r="H20" s="101" t="s">
        <v>498</v>
      </c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 t="s">
        <v>415</v>
      </c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</row>
    <row r="21" ht="18.75" customHeight="1">
      <c r="A21" s="101" t="s">
        <v>494</v>
      </c>
      <c r="B21" s="101" t="s">
        <v>399</v>
      </c>
      <c r="C21" s="101" t="s">
        <v>415</v>
      </c>
      <c r="D21" s="113" t="s">
        <v>495</v>
      </c>
      <c r="E21" s="101" t="s">
        <v>496</v>
      </c>
      <c r="F21" s="101"/>
      <c r="G21" s="101" t="s">
        <v>497</v>
      </c>
      <c r="H21" s="101" t="s">
        <v>498</v>
      </c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</row>
    <row r="22">
      <c r="A22" s="114" t="s">
        <v>499</v>
      </c>
      <c r="B22" s="111" t="s">
        <v>399</v>
      </c>
      <c r="C22" s="101" t="s">
        <v>3417</v>
      </c>
      <c r="D22" s="118"/>
      <c r="E22" s="101" t="s">
        <v>500</v>
      </c>
      <c r="F22" s="101" t="s">
        <v>501</v>
      </c>
      <c r="G22" s="101" t="s">
        <v>502</v>
      </c>
      <c r="H22" s="101" t="s">
        <v>503</v>
      </c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</row>
    <row r="23">
      <c r="A23" s="101" t="s">
        <v>504</v>
      </c>
      <c r="B23" s="111" t="s">
        <v>399</v>
      </c>
      <c r="C23" s="101" t="s">
        <v>3418</v>
      </c>
      <c r="D23" s="113" t="s">
        <v>505</v>
      </c>
      <c r="E23" s="101" t="s">
        <v>506</v>
      </c>
      <c r="F23" s="101" t="s">
        <v>507</v>
      </c>
      <c r="G23" s="101" t="s">
        <v>508</v>
      </c>
      <c r="H23" s="101" t="s">
        <v>509</v>
      </c>
      <c r="I23" s="101">
        <v>600.0</v>
      </c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</row>
    <row r="24">
      <c r="A24" s="101"/>
      <c r="B24" s="101"/>
      <c r="C24" s="101"/>
      <c r="D24" s="118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</row>
    <row r="25">
      <c r="A25" s="101"/>
      <c r="B25" s="101"/>
      <c r="C25" s="101"/>
      <c r="D25" s="118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</row>
    <row r="26">
      <c r="A26" s="101"/>
      <c r="B26" s="101"/>
      <c r="C26" s="101"/>
      <c r="D26" s="118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</row>
    <row r="27">
      <c r="A27" s="112"/>
      <c r="B27" s="112"/>
      <c r="C27" s="112"/>
      <c r="D27" s="119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09"/>
      <c r="AB27" s="109"/>
      <c r="AC27" s="109"/>
      <c r="AD27" s="109"/>
      <c r="AE27" s="109"/>
      <c r="AF27" s="109"/>
      <c r="AG27" s="109"/>
      <c r="AH27" s="109"/>
      <c r="AI27" s="109"/>
    </row>
    <row r="28">
      <c r="A28" s="112"/>
      <c r="B28" s="112"/>
      <c r="C28" s="112"/>
      <c r="D28" s="119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09"/>
      <c r="AB28" s="109"/>
      <c r="AC28" s="109"/>
      <c r="AD28" s="109"/>
      <c r="AE28" s="109"/>
      <c r="AF28" s="109"/>
      <c r="AG28" s="109"/>
      <c r="AH28" s="109"/>
      <c r="AI28" s="109"/>
    </row>
    <row r="29">
      <c r="A29" s="112"/>
      <c r="B29" s="112"/>
      <c r="C29" s="112"/>
      <c r="D29" s="119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09"/>
      <c r="AB29" s="109"/>
      <c r="AC29" s="109"/>
      <c r="AD29" s="109"/>
      <c r="AE29" s="109"/>
      <c r="AF29" s="109"/>
      <c r="AG29" s="109"/>
      <c r="AH29" s="109"/>
      <c r="AI29" s="109"/>
    </row>
    <row r="30">
      <c r="A30" s="112"/>
      <c r="B30" s="112"/>
      <c r="C30" s="112"/>
      <c r="D30" s="119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09"/>
      <c r="AB30" s="109"/>
      <c r="AC30" s="109"/>
      <c r="AD30" s="109"/>
      <c r="AE30" s="109"/>
      <c r="AF30" s="109"/>
      <c r="AG30" s="109"/>
      <c r="AH30" s="109"/>
      <c r="AI30" s="109"/>
    </row>
    <row r="31">
      <c r="A31" s="112"/>
      <c r="B31" s="112"/>
      <c r="C31" s="112"/>
      <c r="D31" s="119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09"/>
      <c r="AB31" s="109"/>
      <c r="AC31" s="109"/>
      <c r="AD31" s="109"/>
      <c r="AE31" s="109"/>
      <c r="AF31" s="109"/>
      <c r="AG31" s="109"/>
      <c r="AH31" s="109"/>
      <c r="AI31" s="109"/>
    </row>
    <row r="32">
      <c r="A32" s="112"/>
      <c r="B32" s="112"/>
      <c r="C32" s="112"/>
      <c r="D32" s="119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09"/>
      <c r="AB32" s="109"/>
      <c r="AC32" s="109"/>
      <c r="AD32" s="109"/>
      <c r="AE32" s="109"/>
      <c r="AF32" s="109"/>
      <c r="AG32" s="109"/>
      <c r="AH32" s="109"/>
      <c r="AI32" s="109"/>
    </row>
    <row r="33">
      <c r="A33" s="112"/>
      <c r="B33" s="112"/>
      <c r="C33" s="112"/>
      <c r="D33" s="119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09"/>
      <c r="AB33" s="109"/>
      <c r="AC33" s="109"/>
      <c r="AD33" s="109"/>
      <c r="AE33" s="109"/>
      <c r="AF33" s="109"/>
      <c r="AG33" s="109"/>
      <c r="AH33" s="109"/>
      <c r="AI33" s="109"/>
    </row>
    <row r="34">
      <c r="A34" s="112"/>
      <c r="B34" s="112"/>
      <c r="C34" s="112"/>
      <c r="D34" s="119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09"/>
      <c r="AB34" s="109"/>
      <c r="AC34" s="109"/>
      <c r="AD34" s="109"/>
      <c r="AE34" s="109"/>
      <c r="AF34" s="109"/>
      <c r="AG34" s="109"/>
      <c r="AH34" s="109"/>
      <c r="AI34" s="109"/>
    </row>
    <row r="35">
      <c r="A35" s="112"/>
      <c r="B35" s="112"/>
      <c r="C35" s="112"/>
      <c r="D35" s="119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09"/>
      <c r="AB35" s="109"/>
      <c r="AC35" s="109"/>
      <c r="AD35" s="109"/>
      <c r="AE35" s="109"/>
      <c r="AF35" s="109"/>
      <c r="AG35" s="109"/>
      <c r="AH35" s="109"/>
      <c r="AI35" s="109"/>
    </row>
    <row r="36">
      <c r="A36" s="112"/>
      <c r="B36" s="112"/>
      <c r="C36" s="112"/>
      <c r="D36" s="119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09"/>
      <c r="AB36" s="109"/>
      <c r="AC36" s="109"/>
      <c r="AD36" s="109"/>
      <c r="AE36" s="109"/>
      <c r="AF36" s="109"/>
      <c r="AG36" s="109"/>
      <c r="AH36" s="109"/>
      <c r="AI36" s="109"/>
    </row>
    <row r="37">
      <c r="A37" s="112"/>
      <c r="B37" s="112"/>
      <c r="C37" s="112"/>
      <c r="D37" s="119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09"/>
      <c r="AB37" s="109"/>
      <c r="AC37" s="109"/>
      <c r="AD37" s="109"/>
      <c r="AE37" s="109"/>
      <c r="AF37" s="109"/>
      <c r="AG37" s="109"/>
      <c r="AH37" s="109"/>
      <c r="AI37" s="109"/>
    </row>
    <row r="38">
      <c r="A38" s="112"/>
      <c r="B38" s="112"/>
      <c r="C38" s="112"/>
      <c r="D38" s="119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09"/>
      <c r="AB38" s="109"/>
      <c r="AC38" s="109"/>
      <c r="AD38" s="109"/>
      <c r="AE38" s="109"/>
      <c r="AF38" s="109"/>
      <c r="AG38" s="109"/>
      <c r="AH38" s="109"/>
      <c r="AI38" s="109"/>
    </row>
    <row r="39">
      <c r="A39" s="112"/>
      <c r="B39" s="112"/>
      <c r="C39" s="112"/>
      <c r="D39" s="119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09"/>
      <c r="AB39" s="109"/>
      <c r="AC39" s="109"/>
      <c r="AD39" s="109"/>
      <c r="AE39" s="109"/>
      <c r="AF39" s="109"/>
      <c r="AG39" s="109"/>
      <c r="AH39" s="109"/>
      <c r="AI39" s="109"/>
    </row>
    <row r="40">
      <c r="A40" s="112"/>
      <c r="B40" s="112"/>
      <c r="C40" s="112"/>
      <c r="D40" s="119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09"/>
      <c r="AB40" s="109"/>
      <c r="AC40" s="109"/>
      <c r="AD40" s="109"/>
      <c r="AE40" s="109"/>
      <c r="AF40" s="109"/>
      <c r="AG40" s="109"/>
      <c r="AH40" s="109"/>
      <c r="AI40" s="109"/>
    </row>
    <row r="41">
      <c r="A41" s="112"/>
      <c r="B41" s="112"/>
      <c r="C41" s="112"/>
      <c r="D41" s="119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09"/>
      <c r="AB41" s="109"/>
      <c r="AC41" s="109"/>
      <c r="AD41" s="109"/>
      <c r="AE41" s="109"/>
      <c r="AF41" s="109"/>
      <c r="AG41" s="109"/>
      <c r="AH41" s="109"/>
      <c r="AI41" s="109"/>
    </row>
    <row r="42">
      <c r="A42" s="112"/>
      <c r="B42" s="112"/>
      <c r="C42" s="112"/>
      <c r="D42" s="119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09"/>
      <c r="AB42" s="109"/>
      <c r="AC42" s="109"/>
      <c r="AD42" s="109"/>
      <c r="AE42" s="109"/>
      <c r="AF42" s="109"/>
      <c r="AG42" s="109"/>
      <c r="AH42" s="109"/>
      <c r="AI42" s="109"/>
    </row>
    <row r="43">
      <c r="A43" s="112"/>
      <c r="B43" s="112"/>
      <c r="C43" s="112"/>
      <c r="D43" s="119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09"/>
      <c r="AB43" s="109"/>
      <c r="AC43" s="109"/>
      <c r="AD43" s="109"/>
      <c r="AE43" s="109"/>
      <c r="AF43" s="109"/>
      <c r="AG43" s="109"/>
      <c r="AH43" s="109"/>
      <c r="AI43" s="109"/>
    </row>
    <row r="44">
      <c r="A44" s="112"/>
      <c r="B44" s="112"/>
      <c r="C44" s="112"/>
      <c r="D44" s="119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09"/>
      <c r="AB44" s="109"/>
      <c r="AC44" s="109"/>
      <c r="AD44" s="109"/>
      <c r="AE44" s="109"/>
      <c r="AF44" s="109"/>
      <c r="AG44" s="109"/>
      <c r="AH44" s="109"/>
      <c r="AI44" s="109"/>
    </row>
    <row r="45">
      <c r="A45" s="112"/>
      <c r="B45" s="112"/>
      <c r="C45" s="112"/>
      <c r="D45" s="119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09"/>
      <c r="AB45" s="109"/>
      <c r="AC45" s="109"/>
      <c r="AD45" s="109"/>
      <c r="AE45" s="109"/>
      <c r="AF45" s="109"/>
      <c r="AG45" s="109"/>
      <c r="AH45" s="109"/>
      <c r="AI45" s="109"/>
    </row>
    <row r="46">
      <c r="A46" s="112"/>
      <c r="B46" s="112"/>
      <c r="C46" s="112"/>
      <c r="D46" s="119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09"/>
      <c r="AB46" s="109"/>
      <c r="AC46" s="109"/>
      <c r="AD46" s="109"/>
      <c r="AE46" s="109"/>
      <c r="AF46" s="109"/>
      <c r="AG46" s="109"/>
      <c r="AH46" s="109"/>
      <c r="AI46" s="109"/>
    </row>
    <row r="47">
      <c r="A47" s="112"/>
      <c r="B47" s="112"/>
      <c r="C47" s="112"/>
      <c r="D47" s="119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09"/>
      <c r="AB47" s="109"/>
      <c r="AC47" s="109"/>
      <c r="AD47" s="109"/>
      <c r="AE47" s="109"/>
      <c r="AF47" s="109"/>
      <c r="AG47" s="109"/>
      <c r="AH47" s="109"/>
      <c r="AI47" s="109"/>
    </row>
    <row r="48">
      <c r="A48" s="112"/>
      <c r="B48" s="112"/>
      <c r="C48" s="112"/>
      <c r="D48" s="119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09"/>
      <c r="AB48" s="109"/>
      <c r="AC48" s="109"/>
      <c r="AD48" s="109"/>
      <c r="AE48" s="109"/>
      <c r="AF48" s="109"/>
      <c r="AG48" s="109"/>
      <c r="AH48" s="109"/>
      <c r="AI48" s="109"/>
    </row>
    <row r="49">
      <c r="A49" s="112"/>
      <c r="B49" s="112"/>
      <c r="C49" s="112"/>
      <c r="D49" s="119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09"/>
      <c r="AB49" s="109"/>
      <c r="AC49" s="109"/>
      <c r="AD49" s="109"/>
      <c r="AE49" s="109"/>
      <c r="AF49" s="109"/>
      <c r="AG49" s="109"/>
      <c r="AH49" s="109"/>
      <c r="AI49" s="109"/>
    </row>
    <row r="50">
      <c r="A50" s="112"/>
      <c r="B50" s="112"/>
      <c r="C50" s="112"/>
      <c r="D50" s="119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09"/>
      <c r="AB50" s="109"/>
      <c r="AC50" s="109"/>
      <c r="AD50" s="109"/>
      <c r="AE50" s="109"/>
      <c r="AF50" s="109"/>
      <c r="AG50" s="109"/>
      <c r="AH50" s="109"/>
      <c r="AI50" s="109"/>
    </row>
    <row r="51">
      <c r="A51" s="112"/>
      <c r="B51" s="112"/>
      <c r="C51" s="112"/>
      <c r="D51" s="119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09"/>
      <c r="AB51" s="109"/>
      <c r="AC51" s="109"/>
      <c r="AD51" s="109"/>
      <c r="AE51" s="109"/>
      <c r="AF51" s="109"/>
      <c r="AG51" s="109"/>
      <c r="AH51" s="109"/>
      <c r="AI51" s="109"/>
    </row>
    <row r="52">
      <c r="A52" s="112"/>
      <c r="B52" s="112"/>
      <c r="C52" s="112"/>
      <c r="D52" s="119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09"/>
      <c r="AB52" s="109"/>
      <c r="AC52" s="109"/>
      <c r="AD52" s="109"/>
      <c r="AE52" s="109"/>
      <c r="AF52" s="109"/>
      <c r="AG52" s="109"/>
      <c r="AH52" s="109"/>
      <c r="AI52" s="109"/>
    </row>
    <row r="53">
      <c r="A53" s="112"/>
      <c r="B53" s="112"/>
      <c r="C53" s="112"/>
      <c r="D53" s="119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09"/>
      <c r="AB53" s="109"/>
      <c r="AC53" s="109"/>
      <c r="AD53" s="109"/>
      <c r="AE53" s="109"/>
      <c r="AF53" s="109"/>
      <c r="AG53" s="109"/>
      <c r="AH53" s="109"/>
      <c r="AI53" s="109"/>
    </row>
    <row r="54">
      <c r="A54" s="112"/>
      <c r="B54" s="112"/>
      <c r="C54" s="112"/>
      <c r="D54" s="119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09"/>
      <c r="AB54" s="109"/>
      <c r="AC54" s="109"/>
      <c r="AD54" s="109"/>
      <c r="AE54" s="109"/>
      <c r="AF54" s="109"/>
      <c r="AG54" s="109"/>
      <c r="AH54" s="109"/>
      <c r="AI54" s="109"/>
    </row>
    <row r="55">
      <c r="A55" s="112"/>
      <c r="B55" s="112"/>
      <c r="C55" s="112"/>
      <c r="D55" s="119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09"/>
      <c r="AB55" s="109"/>
      <c r="AC55" s="109"/>
      <c r="AD55" s="109"/>
      <c r="AE55" s="109"/>
      <c r="AF55" s="109"/>
      <c r="AG55" s="109"/>
      <c r="AH55" s="109"/>
      <c r="AI55" s="109"/>
    </row>
    <row r="56">
      <c r="A56" s="112"/>
      <c r="B56" s="112"/>
      <c r="C56" s="112"/>
      <c r="D56" s="119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09"/>
      <c r="AB56" s="109"/>
      <c r="AC56" s="109"/>
      <c r="AD56" s="109"/>
      <c r="AE56" s="109"/>
      <c r="AF56" s="109"/>
      <c r="AG56" s="109"/>
      <c r="AH56" s="109"/>
      <c r="AI56" s="109"/>
    </row>
    <row r="57">
      <c r="A57" s="112"/>
      <c r="B57" s="112"/>
      <c r="C57" s="112"/>
      <c r="D57" s="119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09"/>
      <c r="AB57" s="109"/>
      <c r="AC57" s="109"/>
      <c r="AD57" s="109"/>
      <c r="AE57" s="109"/>
      <c r="AF57" s="109"/>
      <c r="AG57" s="109"/>
      <c r="AH57" s="109"/>
      <c r="AI57" s="109"/>
    </row>
    <row r="58">
      <c r="A58" s="112"/>
      <c r="B58" s="112"/>
      <c r="C58" s="112"/>
      <c r="D58" s="119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09"/>
      <c r="AB58" s="109"/>
      <c r="AC58" s="109"/>
      <c r="AD58" s="109"/>
      <c r="AE58" s="109"/>
      <c r="AF58" s="109"/>
      <c r="AG58" s="109"/>
      <c r="AH58" s="109"/>
      <c r="AI58" s="109"/>
    </row>
    <row r="59">
      <c r="A59" s="112"/>
      <c r="B59" s="112"/>
      <c r="C59" s="112"/>
      <c r="D59" s="119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09"/>
      <c r="AB59" s="109"/>
      <c r="AC59" s="109"/>
      <c r="AD59" s="109"/>
      <c r="AE59" s="109"/>
      <c r="AF59" s="109"/>
      <c r="AG59" s="109"/>
      <c r="AH59" s="109"/>
      <c r="AI59" s="109"/>
    </row>
    <row r="60">
      <c r="A60" s="112"/>
      <c r="B60" s="112"/>
      <c r="C60" s="112"/>
      <c r="D60" s="119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09"/>
      <c r="AB60" s="109"/>
      <c r="AC60" s="109"/>
      <c r="AD60" s="109"/>
      <c r="AE60" s="109"/>
      <c r="AF60" s="109"/>
      <c r="AG60" s="109"/>
      <c r="AH60" s="109"/>
      <c r="AI60" s="109"/>
    </row>
    <row r="61">
      <c r="A61" s="112"/>
      <c r="B61" s="112"/>
      <c r="C61" s="112"/>
      <c r="D61" s="119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09"/>
      <c r="AB61" s="109"/>
      <c r="AC61" s="109"/>
      <c r="AD61" s="109"/>
      <c r="AE61" s="109"/>
      <c r="AF61" s="109"/>
      <c r="AG61" s="109"/>
      <c r="AH61" s="109"/>
      <c r="AI61" s="109"/>
    </row>
    <row r="62">
      <c r="A62" s="112"/>
      <c r="B62" s="112"/>
      <c r="C62" s="112"/>
      <c r="D62" s="119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09"/>
      <c r="AB62" s="109"/>
      <c r="AC62" s="109"/>
      <c r="AD62" s="109"/>
      <c r="AE62" s="109"/>
      <c r="AF62" s="109"/>
      <c r="AG62" s="109"/>
      <c r="AH62" s="109"/>
      <c r="AI62" s="109"/>
    </row>
    <row r="63">
      <c r="A63" s="112"/>
      <c r="B63" s="112"/>
      <c r="C63" s="112"/>
      <c r="D63" s="119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09"/>
      <c r="AB63" s="109"/>
      <c r="AC63" s="109"/>
      <c r="AD63" s="109"/>
      <c r="AE63" s="109"/>
      <c r="AF63" s="109"/>
      <c r="AG63" s="109"/>
      <c r="AH63" s="109"/>
      <c r="AI63" s="109"/>
    </row>
    <row r="64">
      <c r="A64" s="112"/>
      <c r="B64" s="112"/>
      <c r="C64" s="112"/>
      <c r="D64" s="119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09"/>
      <c r="AB64" s="109"/>
      <c r="AC64" s="109"/>
      <c r="AD64" s="109"/>
      <c r="AE64" s="109"/>
      <c r="AF64" s="109"/>
      <c r="AG64" s="109"/>
      <c r="AH64" s="109"/>
      <c r="AI64" s="109"/>
    </row>
    <row r="65">
      <c r="A65" s="112"/>
      <c r="B65" s="112"/>
      <c r="C65" s="112"/>
      <c r="D65" s="119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09"/>
      <c r="AB65" s="109"/>
      <c r="AC65" s="109"/>
      <c r="AD65" s="109"/>
      <c r="AE65" s="109"/>
      <c r="AF65" s="109"/>
      <c r="AG65" s="109"/>
      <c r="AH65" s="109"/>
      <c r="AI65" s="109"/>
    </row>
    <row r="66">
      <c r="A66" s="112"/>
      <c r="B66" s="112"/>
      <c r="C66" s="112"/>
      <c r="D66" s="119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09"/>
      <c r="AB66" s="109"/>
      <c r="AC66" s="109"/>
      <c r="AD66" s="109"/>
      <c r="AE66" s="109"/>
      <c r="AF66" s="109"/>
      <c r="AG66" s="109"/>
      <c r="AH66" s="109"/>
      <c r="AI66" s="109"/>
    </row>
    <row r="67">
      <c r="A67" s="112"/>
      <c r="B67" s="112"/>
      <c r="C67" s="112"/>
      <c r="D67" s="119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09"/>
      <c r="AB67" s="109"/>
      <c r="AC67" s="109"/>
      <c r="AD67" s="109"/>
      <c r="AE67" s="109"/>
      <c r="AF67" s="109"/>
      <c r="AG67" s="109"/>
      <c r="AH67" s="109"/>
      <c r="AI67" s="109"/>
    </row>
    <row r="68">
      <c r="A68" s="112"/>
      <c r="B68" s="112"/>
      <c r="C68" s="112"/>
      <c r="D68" s="119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09"/>
      <c r="AB68" s="109"/>
      <c r="AC68" s="109"/>
      <c r="AD68" s="109"/>
      <c r="AE68" s="109"/>
      <c r="AF68" s="109"/>
      <c r="AG68" s="109"/>
      <c r="AH68" s="109"/>
      <c r="AI68" s="109"/>
    </row>
    <row r="69">
      <c r="A69" s="112"/>
      <c r="B69" s="112"/>
      <c r="C69" s="112"/>
      <c r="D69" s="119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09"/>
      <c r="AB69" s="109"/>
      <c r="AC69" s="109"/>
      <c r="AD69" s="109"/>
      <c r="AE69" s="109"/>
      <c r="AF69" s="109"/>
      <c r="AG69" s="109"/>
      <c r="AH69" s="109"/>
      <c r="AI69" s="109"/>
    </row>
    <row r="70">
      <c r="A70" s="112"/>
      <c r="B70" s="112"/>
      <c r="C70" s="112"/>
      <c r="D70" s="119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09"/>
      <c r="AB70" s="109"/>
      <c r="AC70" s="109"/>
      <c r="AD70" s="109"/>
      <c r="AE70" s="109"/>
      <c r="AF70" s="109"/>
      <c r="AG70" s="109"/>
      <c r="AH70" s="109"/>
      <c r="AI70" s="109"/>
    </row>
    <row r="71">
      <c r="A71" s="112"/>
      <c r="B71" s="112"/>
      <c r="C71" s="112"/>
      <c r="D71" s="119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09"/>
      <c r="AB71" s="109"/>
      <c r="AC71" s="109"/>
      <c r="AD71" s="109"/>
      <c r="AE71" s="109"/>
      <c r="AF71" s="109"/>
      <c r="AG71" s="109"/>
      <c r="AH71" s="109"/>
      <c r="AI71" s="109"/>
    </row>
    <row r="72">
      <c r="A72" s="112"/>
      <c r="B72" s="112"/>
      <c r="C72" s="112"/>
      <c r="D72" s="119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09"/>
      <c r="AB72" s="109"/>
      <c r="AC72" s="109"/>
      <c r="AD72" s="109"/>
      <c r="AE72" s="109"/>
      <c r="AF72" s="109"/>
      <c r="AG72" s="109"/>
      <c r="AH72" s="109"/>
      <c r="AI72" s="109"/>
    </row>
    <row r="73">
      <c r="A73" s="112"/>
      <c r="B73" s="112"/>
      <c r="C73" s="112"/>
      <c r="D73" s="119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09"/>
      <c r="AB73" s="109"/>
      <c r="AC73" s="109"/>
      <c r="AD73" s="109"/>
      <c r="AE73" s="109"/>
      <c r="AF73" s="109"/>
      <c r="AG73" s="109"/>
      <c r="AH73" s="109"/>
      <c r="AI73" s="109"/>
    </row>
    <row r="74">
      <c r="A74" s="112"/>
      <c r="B74" s="112"/>
      <c r="C74" s="112"/>
      <c r="D74" s="119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09"/>
      <c r="AB74" s="109"/>
      <c r="AC74" s="109"/>
      <c r="AD74" s="109"/>
      <c r="AE74" s="109"/>
      <c r="AF74" s="109"/>
      <c r="AG74" s="109"/>
      <c r="AH74" s="109"/>
      <c r="AI74" s="109"/>
    </row>
    <row r="75">
      <c r="A75" s="112"/>
      <c r="B75" s="112"/>
      <c r="C75" s="112"/>
      <c r="D75" s="119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09"/>
      <c r="AB75" s="109"/>
      <c r="AC75" s="109"/>
      <c r="AD75" s="109"/>
      <c r="AE75" s="109"/>
      <c r="AF75" s="109"/>
      <c r="AG75" s="109"/>
      <c r="AH75" s="109"/>
      <c r="AI75" s="109"/>
    </row>
    <row r="76">
      <c r="A76" s="112"/>
      <c r="B76" s="112"/>
      <c r="C76" s="112"/>
      <c r="D76" s="119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09"/>
      <c r="AB76" s="109"/>
      <c r="AC76" s="109"/>
      <c r="AD76" s="109"/>
      <c r="AE76" s="109"/>
      <c r="AF76" s="109"/>
      <c r="AG76" s="109"/>
      <c r="AH76" s="109"/>
      <c r="AI76" s="109"/>
    </row>
    <row r="77">
      <c r="A77" s="112"/>
      <c r="B77" s="112"/>
      <c r="C77" s="112"/>
      <c r="D77" s="119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09"/>
      <c r="AB77" s="109"/>
      <c r="AC77" s="109"/>
      <c r="AD77" s="109"/>
      <c r="AE77" s="109"/>
      <c r="AF77" s="109"/>
      <c r="AG77" s="109"/>
      <c r="AH77" s="109"/>
      <c r="AI77" s="109"/>
    </row>
    <row r="78">
      <c r="A78" s="112"/>
      <c r="B78" s="112"/>
      <c r="C78" s="112"/>
      <c r="D78" s="119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09"/>
      <c r="AB78" s="109"/>
      <c r="AC78" s="109"/>
      <c r="AD78" s="109"/>
      <c r="AE78" s="109"/>
      <c r="AF78" s="109"/>
      <c r="AG78" s="109"/>
      <c r="AH78" s="109"/>
      <c r="AI78" s="109"/>
    </row>
    <row r="79">
      <c r="A79" s="112"/>
      <c r="B79" s="112"/>
      <c r="C79" s="112"/>
      <c r="D79" s="119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09"/>
      <c r="AB79" s="109"/>
      <c r="AC79" s="109"/>
      <c r="AD79" s="109"/>
      <c r="AE79" s="109"/>
      <c r="AF79" s="109"/>
      <c r="AG79" s="109"/>
      <c r="AH79" s="109"/>
      <c r="AI79" s="109"/>
    </row>
    <row r="80">
      <c r="A80" s="112"/>
      <c r="B80" s="112"/>
      <c r="C80" s="112"/>
      <c r="D80" s="119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09"/>
      <c r="AB80" s="109"/>
      <c r="AC80" s="109"/>
      <c r="AD80" s="109"/>
      <c r="AE80" s="109"/>
      <c r="AF80" s="109"/>
      <c r="AG80" s="109"/>
      <c r="AH80" s="109"/>
      <c r="AI80" s="109"/>
    </row>
    <row r="81">
      <c r="A81" s="112"/>
      <c r="B81" s="112"/>
      <c r="C81" s="112"/>
      <c r="D81" s="119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09"/>
      <c r="AB81" s="109"/>
      <c r="AC81" s="109"/>
      <c r="AD81" s="109"/>
      <c r="AE81" s="109"/>
      <c r="AF81" s="109"/>
      <c r="AG81" s="109"/>
      <c r="AH81" s="109"/>
      <c r="AI81" s="109"/>
    </row>
    <row r="82">
      <c r="A82" s="112"/>
      <c r="B82" s="112"/>
      <c r="C82" s="112"/>
      <c r="D82" s="119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09"/>
      <c r="AB82" s="109"/>
      <c r="AC82" s="109"/>
      <c r="AD82" s="109"/>
      <c r="AE82" s="109"/>
      <c r="AF82" s="109"/>
      <c r="AG82" s="109"/>
      <c r="AH82" s="109"/>
      <c r="AI82" s="109"/>
    </row>
    <row r="83">
      <c r="A83" s="112"/>
      <c r="B83" s="112"/>
      <c r="C83" s="112"/>
      <c r="D83" s="119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09"/>
      <c r="AB83" s="109"/>
      <c r="AC83" s="109"/>
      <c r="AD83" s="109"/>
      <c r="AE83" s="109"/>
      <c r="AF83" s="109"/>
      <c r="AG83" s="109"/>
      <c r="AH83" s="109"/>
      <c r="AI83" s="109"/>
    </row>
    <row r="84">
      <c r="A84" s="112"/>
      <c r="B84" s="112"/>
      <c r="C84" s="112"/>
      <c r="D84" s="119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09"/>
      <c r="AB84" s="109"/>
      <c r="AC84" s="109"/>
      <c r="AD84" s="109"/>
      <c r="AE84" s="109"/>
      <c r="AF84" s="109"/>
      <c r="AG84" s="109"/>
      <c r="AH84" s="109"/>
      <c r="AI84" s="109"/>
    </row>
    <row r="85">
      <c r="A85" s="112"/>
      <c r="B85" s="112"/>
      <c r="C85" s="112"/>
      <c r="D85" s="119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09"/>
      <c r="AB85" s="109"/>
      <c r="AC85" s="109"/>
      <c r="AD85" s="109"/>
      <c r="AE85" s="109"/>
      <c r="AF85" s="109"/>
      <c r="AG85" s="109"/>
      <c r="AH85" s="109"/>
      <c r="AI85" s="109"/>
    </row>
    <row r="86">
      <c r="A86" s="112"/>
      <c r="B86" s="112"/>
      <c r="C86" s="112"/>
      <c r="D86" s="119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09"/>
      <c r="AB86" s="109"/>
      <c r="AC86" s="109"/>
      <c r="AD86" s="109"/>
      <c r="AE86" s="109"/>
      <c r="AF86" s="109"/>
      <c r="AG86" s="109"/>
      <c r="AH86" s="109"/>
      <c r="AI86" s="109"/>
    </row>
    <row r="87">
      <c r="A87" s="112"/>
      <c r="B87" s="112"/>
      <c r="C87" s="112"/>
      <c r="D87" s="119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09"/>
      <c r="AB87" s="109"/>
      <c r="AC87" s="109"/>
      <c r="AD87" s="109"/>
      <c r="AE87" s="109"/>
      <c r="AF87" s="109"/>
      <c r="AG87" s="109"/>
      <c r="AH87" s="109"/>
      <c r="AI87" s="109"/>
    </row>
    <row r="88">
      <c r="A88" s="112"/>
      <c r="B88" s="112"/>
      <c r="C88" s="112"/>
      <c r="D88" s="119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09"/>
      <c r="AB88" s="109"/>
      <c r="AC88" s="109"/>
      <c r="AD88" s="109"/>
      <c r="AE88" s="109"/>
      <c r="AF88" s="109"/>
      <c r="AG88" s="109"/>
      <c r="AH88" s="109"/>
      <c r="AI88" s="109"/>
    </row>
    <row r="89">
      <c r="A89" s="112"/>
      <c r="B89" s="112"/>
      <c r="C89" s="112"/>
      <c r="D89" s="119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09"/>
      <c r="AB89" s="109"/>
      <c r="AC89" s="109"/>
      <c r="AD89" s="109"/>
      <c r="AE89" s="109"/>
      <c r="AF89" s="109"/>
      <c r="AG89" s="109"/>
      <c r="AH89" s="109"/>
      <c r="AI89" s="109"/>
    </row>
    <row r="90">
      <c r="A90" s="112"/>
      <c r="B90" s="112"/>
      <c r="C90" s="112"/>
      <c r="D90" s="119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09"/>
      <c r="AB90" s="109"/>
      <c r="AC90" s="109"/>
      <c r="AD90" s="109"/>
      <c r="AE90" s="109"/>
      <c r="AF90" s="109"/>
      <c r="AG90" s="109"/>
      <c r="AH90" s="109"/>
      <c r="AI90" s="109"/>
    </row>
    <row r="91">
      <c r="A91" s="112"/>
      <c r="B91" s="112"/>
      <c r="C91" s="112"/>
      <c r="D91" s="119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09"/>
      <c r="AB91" s="109"/>
      <c r="AC91" s="109"/>
      <c r="AD91" s="109"/>
      <c r="AE91" s="109"/>
      <c r="AF91" s="109"/>
      <c r="AG91" s="109"/>
      <c r="AH91" s="109"/>
      <c r="AI91" s="109"/>
    </row>
    <row r="92">
      <c r="A92" s="112"/>
      <c r="B92" s="112"/>
      <c r="C92" s="112"/>
      <c r="D92" s="119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09"/>
      <c r="AB92" s="109"/>
      <c r="AC92" s="109"/>
      <c r="AD92" s="109"/>
      <c r="AE92" s="109"/>
      <c r="AF92" s="109"/>
      <c r="AG92" s="109"/>
      <c r="AH92" s="109"/>
      <c r="AI92" s="109"/>
    </row>
    <row r="93">
      <c r="A93" s="112"/>
      <c r="B93" s="112"/>
      <c r="C93" s="112"/>
      <c r="D93" s="119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09"/>
      <c r="AB93" s="109"/>
      <c r="AC93" s="109"/>
      <c r="AD93" s="109"/>
      <c r="AE93" s="109"/>
      <c r="AF93" s="109"/>
      <c r="AG93" s="109"/>
      <c r="AH93" s="109"/>
      <c r="AI93" s="109"/>
    </row>
    <row r="94">
      <c r="A94" s="112"/>
      <c r="B94" s="112"/>
      <c r="C94" s="112"/>
      <c r="D94" s="119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09"/>
      <c r="AB94" s="109"/>
      <c r="AC94" s="109"/>
      <c r="AD94" s="109"/>
      <c r="AE94" s="109"/>
      <c r="AF94" s="109"/>
      <c r="AG94" s="109"/>
      <c r="AH94" s="109"/>
      <c r="AI94" s="109"/>
    </row>
    <row r="95">
      <c r="A95" s="112"/>
      <c r="B95" s="112"/>
      <c r="C95" s="112"/>
      <c r="D95" s="119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09"/>
      <c r="AB95" s="109"/>
      <c r="AC95" s="109"/>
      <c r="AD95" s="109"/>
      <c r="AE95" s="109"/>
      <c r="AF95" s="109"/>
      <c r="AG95" s="109"/>
      <c r="AH95" s="109"/>
      <c r="AI95" s="109"/>
    </row>
    <row r="96">
      <c r="A96" s="112"/>
      <c r="B96" s="112"/>
      <c r="C96" s="112"/>
      <c r="D96" s="119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09"/>
      <c r="AB96" s="109"/>
      <c r="AC96" s="109"/>
      <c r="AD96" s="109"/>
      <c r="AE96" s="109"/>
      <c r="AF96" s="109"/>
      <c r="AG96" s="109"/>
      <c r="AH96" s="109"/>
      <c r="AI96" s="109"/>
    </row>
    <row r="97">
      <c r="A97" s="112"/>
      <c r="B97" s="112"/>
      <c r="C97" s="112"/>
      <c r="D97" s="119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09"/>
      <c r="AB97" s="109"/>
      <c r="AC97" s="109"/>
      <c r="AD97" s="109"/>
      <c r="AE97" s="109"/>
      <c r="AF97" s="109"/>
      <c r="AG97" s="109"/>
      <c r="AH97" s="109"/>
      <c r="AI97" s="109"/>
    </row>
    <row r="98">
      <c r="A98" s="112"/>
      <c r="B98" s="112"/>
      <c r="C98" s="112"/>
      <c r="D98" s="119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09"/>
      <c r="AB98" s="109"/>
      <c r="AC98" s="109"/>
      <c r="AD98" s="109"/>
      <c r="AE98" s="109"/>
      <c r="AF98" s="109"/>
      <c r="AG98" s="109"/>
      <c r="AH98" s="109"/>
      <c r="AI98" s="109"/>
    </row>
    <row r="99">
      <c r="A99" s="112"/>
      <c r="B99" s="112"/>
      <c r="C99" s="112"/>
      <c r="D99" s="119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09"/>
      <c r="AB99" s="109"/>
      <c r="AC99" s="109"/>
      <c r="AD99" s="109"/>
      <c r="AE99" s="109"/>
      <c r="AF99" s="109"/>
      <c r="AG99" s="109"/>
      <c r="AH99" s="109"/>
      <c r="AI99" s="109"/>
    </row>
    <row r="100">
      <c r="A100" s="112"/>
      <c r="B100" s="112"/>
      <c r="C100" s="112"/>
      <c r="D100" s="119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09"/>
      <c r="AB100" s="109"/>
      <c r="AC100" s="109"/>
      <c r="AD100" s="109"/>
      <c r="AE100" s="109"/>
      <c r="AF100" s="109"/>
      <c r="AG100" s="109"/>
      <c r="AH100" s="109"/>
      <c r="AI100" s="109"/>
    </row>
    <row r="101">
      <c r="A101" s="112"/>
      <c r="B101" s="112"/>
      <c r="C101" s="112"/>
      <c r="D101" s="119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09"/>
      <c r="AB101" s="109"/>
      <c r="AC101" s="109"/>
      <c r="AD101" s="109"/>
      <c r="AE101" s="109"/>
      <c r="AF101" s="109"/>
      <c r="AG101" s="109"/>
      <c r="AH101" s="109"/>
      <c r="AI101" s="109"/>
    </row>
    <row r="102">
      <c r="A102" s="112"/>
      <c r="B102" s="112"/>
      <c r="C102" s="112"/>
      <c r="D102" s="119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09"/>
      <c r="AB102" s="109"/>
      <c r="AC102" s="109"/>
      <c r="AD102" s="109"/>
      <c r="AE102" s="109"/>
      <c r="AF102" s="109"/>
      <c r="AG102" s="109"/>
      <c r="AH102" s="109"/>
      <c r="AI102" s="109"/>
    </row>
    <row r="103">
      <c r="A103" s="112"/>
      <c r="B103" s="112"/>
      <c r="C103" s="112"/>
      <c r="D103" s="119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09"/>
      <c r="AB103" s="109"/>
      <c r="AC103" s="109"/>
      <c r="AD103" s="109"/>
      <c r="AE103" s="109"/>
      <c r="AF103" s="109"/>
      <c r="AG103" s="109"/>
      <c r="AH103" s="109"/>
      <c r="AI103" s="109"/>
    </row>
    <row r="104">
      <c r="A104" s="112"/>
      <c r="B104" s="112"/>
      <c r="C104" s="112"/>
      <c r="D104" s="119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09"/>
      <c r="AB104" s="109"/>
      <c r="AC104" s="109"/>
      <c r="AD104" s="109"/>
      <c r="AE104" s="109"/>
      <c r="AF104" s="109"/>
      <c r="AG104" s="109"/>
      <c r="AH104" s="109"/>
      <c r="AI104" s="109"/>
    </row>
    <row r="105">
      <c r="A105" s="112"/>
      <c r="B105" s="112"/>
      <c r="C105" s="112"/>
      <c r="D105" s="119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09"/>
      <c r="AB105" s="109"/>
      <c r="AC105" s="109"/>
      <c r="AD105" s="109"/>
      <c r="AE105" s="109"/>
      <c r="AF105" s="109"/>
      <c r="AG105" s="109"/>
      <c r="AH105" s="109"/>
      <c r="AI105" s="109"/>
    </row>
    <row r="106">
      <c r="A106" s="112"/>
      <c r="B106" s="112"/>
      <c r="C106" s="112"/>
      <c r="D106" s="119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09"/>
      <c r="AB106" s="109"/>
      <c r="AC106" s="109"/>
      <c r="AD106" s="109"/>
      <c r="AE106" s="109"/>
      <c r="AF106" s="109"/>
      <c r="AG106" s="109"/>
      <c r="AH106" s="109"/>
      <c r="AI106" s="109"/>
    </row>
    <row r="107">
      <c r="A107" s="112"/>
      <c r="B107" s="112"/>
      <c r="C107" s="112"/>
      <c r="D107" s="119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09"/>
      <c r="AB107" s="109"/>
      <c r="AC107" s="109"/>
      <c r="AD107" s="109"/>
      <c r="AE107" s="109"/>
      <c r="AF107" s="109"/>
      <c r="AG107" s="109"/>
      <c r="AH107" s="109"/>
      <c r="AI107" s="109"/>
    </row>
    <row r="108">
      <c r="A108" s="112"/>
      <c r="B108" s="112"/>
      <c r="C108" s="112"/>
      <c r="D108" s="119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09"/>
      <c r="AB108" s="109"/>
      <c r="AC108" s="109"/>
      <c r="AD108" s="109"/>
      <c r="AE108" s="109"/>
      <c r="AF108" s="109"/>
      <c r="AG108" s="109"/>
      <c r="AH108" s="109"/>
      <c r="AI108" s="109"/>
    </row>
    <row r="109">
      <c r="A109" s="112"/>
      <c r="B109" s="112"/>
      <c r="C109" s="112"/>
      <c r="D109" s="119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09"/>
      <c r="AB109" s="109"/>
      <c r="AC109" s="109"/>
      <c r="AD109" s="109"/>
      <c r="AE109" s="109"/>
      <c r="AF109" s="109"/>
      <c r="AG109" s="109"/>
      <c r="AH109" s="109"/>
      <c r="AI109" s="109"/>
    </row>
    <row r="110">
      <c r="A110" s="112"/>
      <c r="B110" s="112"/>
      <c r="C110" s="112"/>
      <c r="D110" s="119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09"/>
      <c r="AB110" s="109"/>
      <c r="AC110" s="109"/>
      <c r="AD110" s="109"/>
      <c r="AE110" s="109"/>
      <c r="AF110" s="109"/>
      <c r="AG110" s="109"/>
      <c r="AH110" s="109"/>
      <c r="AI110" s="109"/>
    </row>
    <row r="111">
      <c r="A111" s="112"/>
      <c r="B111" s="112"/>
      <c r="C111" s="112"/>
      <c r="D111" s="119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09"/>
      <c r="AB111" s="109"/>
      <c r="AC111" s="109"/>
      <c r="AD111" s="109"/>
      <c r="AE111" s="109"/>
      <c r="AF111" s="109"/>
      <c r="AG111" s="109"/>
      <c r="AH111" s="109"/>
      <c r="AI111" s="109"/>
    </row>
    <row r="112">
      <c r="A112" s="112"/>
      <c r="B112" s="112"/>
      <c r="C112" s="112"/>
      <c r="D112" s="119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09"/>
      <c r="AB112" s="109"/>
      <c r="AC112" s="109"/>
      <c r="AD112" s="109"/>
      <c r="AE112" s="109"/>
      <c r="AF112" s="109"/>
      <c r="AG112" s="109"/>
      <c r="AH112" s="109"/>
      <c r="AI112" s="109"/>
    </row>
    <row r="113">
      <c r="A113" s="112"/>
      <c r="B113" s="112"/>
      <c r="C113" s="112"/>
      <c r="D113" s="119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09"/>
      <c r="AB113" s="109"/>
      <c r="AC113" s="109"/>
      <c r="AD113" s="109"/>
      <c r="AE113" s="109"/>
      <c r="AF113" s="109"/>
      <c r="AG113" s="109"/>
      <c r="AH113" s="109"/>
      <c r="AI113" s="109"/>
    </row>
    <row r="114">
      <c r="A114" s="112"/>
      <c r="B114" s="112"/>
      <c r="C114" s="112"/>
      <c r="D114" s="119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09"/>
      <c r="AB114" s="109"/>
      <c r="AC114" s="109"/>
      <c r="AD114" s="109"/>
      <c r="AE114" s="109"/>
      <c r="AF114" s="109"/>
      <c r="AG114" s="109"/>
      <c r="AH114" s="109"/>
      <c r="AI114" s="109"/>
    </row>
    <row r="115">
      <c r="A115" s="112"/>
      <c r="B115" s="112"/>
      <c r="C115" s="112"/>
      <c r="D115" s="119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09"/>
      <c r="AB115" s="109"/>
      <c r="AC115" s="109"/>
      <c r="AD115" s="109"/>
      <c r="AE115" s="109"/>
      <c r="AF115" s="109"/>
      <c r="AG115" s="109"/>
      <c r="AH115" s="109"/>
      <c r="AI115" s="109"/>
    </row>
    <row r="116">
      <c r="A116" s="112"/>
      <c r="B116" s="112"/>
      <c r="C116" s="112"/>
      <c r="D116" s="119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09"/>
      <c r="AB116" s="109"/>
      <c r="AC116" s="109"/>
      <c r="AD116" s="109"/>
      <c r="AE116" s="109"/>
      <c r="AF116" s="109"/>
      <c r="AG116" s="109"/>
      <c r="AH116" s="109"/>
      <c r="AI116" s="109"/>
    </row>
    <row r="117">
      <c r="A117" s="112"/>
      <c r="B117" s="112"/>
      <c r="C117" s="112"/>
      <c r="D117" s="119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09"/>
      <c r="AB117" s="109"/>
      <c r="AC117" s="109"/>
      <c r="AD117" s="109"/>
      <c r="AE117" s="109"/>
      <c r="AF117" s="109"/>
      <c r="AG117" s="109"/>
      <c r="AH117" s="109"/>
      <c r="AI117" s="109"/>
    </row>
    <row r="118">
      <c r="A118" s="112"/>
      <c r="B118" s="112"/>
      <c r="C118" s="112"/>
      <c r="D118" s="119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09"/>
      <c r="AB118" s="109"/>
      <c r="AC118" s="109"/>
      <c r="AD118" s="109"/>
      <c r="AE118" s="109"/>
      <c r="AF118" s="109"/>
      <c r="AG118" s="109"/>
      <c r="AH118" s="109"/>
      <c r="AI118" s="109"/>
    </row>
    <row r="119">
      <c r="A119" s="112"/>
      <c r="B119" s="112"/>
      <c r="C119" s="112"/>
      <c r="D119" s="119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09"/>
      <c r="AB119" s="109"/>
      <c r="AC119" s="109"/>
      <c r="AD119" s="109"/>
      <c r="AE119" s="109"/>
      <c r="AF119" s="109"/>
      <c r="AG119" s="109"/>
      <c r="AH119" s="109"/>
      <c r="AI119" s="109"/>
    </row>
    <row r="120">
      <c r="A120" s="112"/>
      <c r="B120" s="112"/>
      <c r="C120" s="112"/>
      <c r="D120" s="119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09"/>
      <c r="AB120" s="109"/>
      <c r="AC120" s="109"/>
      <c r="AD120" s="109"/>
      <c r="AE120" s="109"/>
      <c r="AF120" s="109"/>
      <c r="AG120" s="109"/>
      <c r="AH120" s="109"/>
      <c r="AI120" s="109"/>
    </row>
    <row r="121">
      <c r="A121" s="112"/>
      <c r="B121" s="112"/>
      <c r="C121" s="112"/>
      <c r="D121" s="119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09"/>
      <c r="AB121" s="109"/>
      <c r="AC121" s="109"/>
      <c r="AD121" s="109"/>
      <c r="AE121" s="109"/>
      <c r="AF121" s="109"/>
      <c r="AG121" s="109"/>
      <c r="AH121" s="109"/>
      <c r="AI121" s="109"/>
    </row>
    <row r="122">
      <c r="A122" s="112"/>
      <c r="B122" s="112"/>
      <c r="C122" s="112"/>
      <c r="D122" s="119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09"/>
      <c r="AB122" s="109"/>
      <c r="AC122" s="109"/>
      <c r="AD122" s="109"/>
      <c r="AE122" s="109"/>
      <c r="AF122" s="109"/>
      <c r="AG122" s="109"/>
      <c r="AH122" s="109"/>
      <c r="AI122" s="109"/>
    </row>
    <row r="123">
      <c r="A123" s="112"/>
      <c r="B123" s="112"/>
      <c r="C123" s="112"/>
      <c r="D123" s="119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09"/>
      <c r="AB123" s="109"/>
      <c r="AC123" s="109"/>
      <c r="AD123" s="109"/>
      <c r="AE123" s="109"/>
      <c r="AF123" s="109"/>
      <c r="AG123" s="109"/>
      <c r="AH123" s="109"/>
      <c r="AI123" s="109"/>
    </row>
    <row r="124">
      <c r="A124" s="112"/>
      <c r="B124" s="112"/>
      <c r="C124" s="112"/>
      <c r="D124" s="119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09"/>
      <c r="AB124" s="109"/>
      <c r="AC124" s="109"/>
      <c r="AD124" s="109"/>
      <c r="AE124" s="109"/>
      <c r="AF124" s="109"/>
      <c r="AG124" s="109"/>
      <c r="AH124" s="109"/>
      <c r="AI124" s="109"/>
    </row>
    <row r="125">
      <c r="A125" s="112"/>
      <c r="B125" s="112"/>
      <c r="C125" s="112"/>
      <c r="D125" s="119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09"/>
      <c r="AB125" s="109"/>
      <c r="AC125" s="109"/>
      <c r="AD125" s="109"/>
      <c r="AE125" s="109"/>
      <c r="AF125" s="109"/>
      <c r="AG125" s="109"/>
      <c r="AH125" s="109"/>
      <c r="AI125" s="109"/>
    </row>
    <row r="126">
      <c r="A126" s="112"/>
      <c r="B126" s="112"/>
      <c r="C126" s="112"/>
      <c r="D126" s="119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09"/>
      <c r="AB126" s="109"/>
      <c r="AC126" s="109"/>
      <c r="AD126" s="109"/>
      <c r="AE126" s="109"/>
      <c r="AF126" s="109"/>
      <c r="AG126" s="109"/>
      <c r="AH126" s="109"/>
      <c r="AI126" s="109"/>
    </row>
    <row r="127">
      <c r="A127" s="112"/>
      <c r="B127" s="112"/>
      <c r="C127" s="112"/>
      <c r="D127" s="119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09"/>
      <c r="AB127" s="109"/>
      <c r="AC127" s="109"/>
      <c r="AD127" s="109"/>
      <c r="AE127" s="109"/>
      <c r="AF127" s="109"/>
      <c r="AG127" s="109"/>
      <c r="AH127" s="109"/>
      <c r="AI127" s="109"/>
    </row>
    <row r="128">
      <c r="A128" s="112"/>
      <c r="B128" s="112"/>
      <c r="C128" s="112"/>
      <c r="D128" s="119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09"/>
      <c r="AB128" s="109"/>
      <c r="AC128" s="109"/>
      <c r="AD128" s="109"/>
      <c r="AE128" s="109"/>
      <c r="AF128" s="109"/>
      <c r="AG128" s="109"/>
      <c r="AH128" s="109"/>
      <c r="AI128" s="109"/>
    </row>
    <row r="129">
      <c r="A129" s="112"/>
      <c r="B129" s="112"/>
      <c r="C129" s="112"/>
      <c r="D129" s="119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09"/>
      <c r="AB129" s="109"/>
      <c r="AC129" s="109"/>
      <c r="AD129" s="109"/>
      <c r="AE129" s="109"/>
      <c r="AF129" s="109"/>
      <c r="AG129" s="109"/>
      <c r="AH129" s="109"/>
      <c r="AI129" s="109"/>
    </row>
    <row r="130">
      <c r="A130" s="112"/>
      <c r="B130" s="112"/>
      <c r="C130" s="112"/>
      <c r="D130" s="119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09"/>
      <c r="AB130" s="109"/>
      <c r="AC130" s="109"/>
      <c r="AD130" s="109"/>
      <c r="AE130" s="109"/>
      <c r="AF130" s="109"/>
      <c r="AG130" s="109"/>
      <c r="AH130" s="109"/>
      <c r="AI130" s="109"/>
    </row>
    <row r="131">
      <c r="A131" s="112"/>
      <c r="B131" s="112"/>
      <c r="C131" s="112"/>
      <c r="D131" s="119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09"/>
      <c r="AB131" s="109"/>
      <c r="AC131" s="109"/>
      <c r="AD131" s="109"/>
      <c r="AE131" s="109"/>
      <c r="AF131" s="109"/>
      <c r="AG131" s="109"/>
      <c r="AH131" s="109"/>
      <c r="AI131" s="109"/>
    </row>
    <row r="132">
      <c r="A132" s="112"/>
      <c r="B132" s="112"/>
      <c r="C132" s="112"/>
      <c r="D132" s="119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09"/>
      <c r="AB132" s="109"/>
      <c r="AC132" s="109"/>
      <c r="AD132" s="109"/>
      <c r="AE132" s="109"/>
      <c r="AF132" s="109"/>
      <c r="AG132" s="109"/>
      <c r="AH132" s="109"/>
      <c r="AI132" s="109"/>
    </row>
    <row r="133">
      <c r="A133" s="112"/>
      <c r="B133" s="112"/>
      <c r="C133" s="112"/>
      <c r="D133" s="119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09"/>
      <c r="AB133" s="109"/>
      <c r="AC133" s="109"/>
      <c r="AD133" s="109"/>
      <c r="AE133" s="109"/>
      <c r="AF133" s="109"/>
      <c r="AG133" s="109"/>
      <c r="AH133" s="109"/>
      <c r="AI133" s="109"/>
    </row>
    <row r="134">
      <c r="A134" s="112"/>
      <c r="B134" s="112"/>
      <c r="C134" s="112"/>
      <c r="D134" s="119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09"/>
      <c r="AB134" s="109"/>
      <c r="AC134" s="109"/>
      <c r="AD134" s="109"/>
      <c r="AE134" s="109"/>
      <c r="AF134" s="109"/>
      <c r="AG134" s="109"/>
      <c r="AH134" s="109"/>
      <c r="AI134" s="109"/>
    </row>
    <row r="135">
      <c r="A135" s="112"/>
      <c r="B135" s="112"/>
      <c r="C135" s="112"/>
      <c r="D135" s="119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09"/>
      <c r="AB135" s="109"/>
      <c r="AC135" s="109"/>
      <c r="AD135" s="109"/>
      <c r="AE135" s="109"/>
      <c r="AF135" s="109"/>
      <c r="AG135" s="109"/>
      <c r="AH135" s="109"/>
      <c r="AI135" s="109"/>
    </row>
    <row r="136">
      <c r="A136" s="112"/>
      <c r="B136" s="112"/>
      <c r="C136" s="112"/>
      <c r="D136" s="119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09"/>
      <c r="AB136" s="109"/>
      <c r="AC136" s="109"/>
      <c r="AD136" s="109"/>
      <c r="AE136" s="109"/>
      <c r="AF136" s="109"/>
      <c r="AG136" s="109"/>
      <c r="AH136" s="109"/>
      <c r="AI136" s="109"/>
    </row>
    <row r="137">
      <c r="A137" s="112"/>
      <c r="B137" s="112"/>
      <c r="C137" s="112"/>
      <c r="D137" s="119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09"/>
      <c r="AB137" s="109"/>
      <c r="AC137" s="109"/>
      <c r="AD137" s="109"/>
      <c r="AE137" s="109"/>
      <c r="AF137" s="109"/>
      <c r="AG137" s="109"/>
      <c r="AH137" s="109"/>
      <c r="AI137" s="109"/>
    </row>
    <row r="138">
      <c r="A138" s="112"/>
      <c r="B138" s="112"/>
      <c r="C138" s="112"/>
      <c r="D138" s="119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09"/>
      <c r="AB138" s="109"/>
      <c r="AC138" s="109"/>
      <c r="AD138" s="109"/>
      <c r="AE138" s="109"/>
      <c r="AF138" s="109"/>
      <c r="AG138" s="109"/>
      <c r="AH138" s="109"/>
      <c r="AI138" s="109"/>
    </row>
    <row r="139">
      <c r="A139" s="112"/>
      <c r="B139" s="112"/>
      <c r="C139" s="112"/>
      <c r="D139" s="119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09"/>
      <c r="AB139" s="109"/>
      <c r="AC139" s="109"/>
      <c r="AD139" s="109"/>
      <c r="AE139" s="109"/>
      <c r="AF139" s="109"/>
      <c r="AG139" s="109"/>
      <c r="AH139" s="109"/>
      <c r="AI139" s="109"/>
    </row>
    <row r="140">
      <c r="A140" s="112"/>
      <c r="B140" s="112"/>
      <c r="C140" s="112"/>
      <c r="D140" s="119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09"/>
      <c r="AB140" s="109"/>
      <c r="AC140" s="109"/>
      <c r="AD140" s="109"/>
      <c r="AE140" s="109"/>
      <c r="AF140" s="109"/>
      <c r="AG140" s="109"/>
      <c r="AH140" s="109"/>
      <c r="AI140" s="109"/>
    </row>
    <row r="141">
      <c r="A141" s="112"/>
      <c r="B141" s="112"/>
      <c r="C141" s="112"/>
      <c r="D141" s="119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09"/>
      <c r="AB141" s="109"/>
      <c r="AC141" s="109"/>
      <c r="AD141" s="109"/>
      <c r="AE141" s="109"/>
      <c r="AF141" s="109"/>
      <c r="AG141" s="109"/>
      <c r="AH141" s="109"/>
      <c r="AI141" s="109"/>
    </row>
    <row r="142">
      <c r="A142" s="112"/>
      <c r="B142" s="112"/>
      <c r="C142" s="112"/>
      <c r="D142" s="119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09"/>
      <c r="AB142" s="109"/>
      <c r="AC142" s="109"/>
      <c r="AD142" s="109"/>
      <c r="AE142" s="109"/>
      <c r="AF142" s="109"/>
      <c r="AG142" s="109"/>
      <c r="AH142" s="109"/>
      <c r="AI142" s="109"/>
    </row>
    <row r="143">
      <c r="A143" s="112"/>
      <c r="B143" s="112"/>
      <c r="C143" s="112"/>
      <c r="D143" s="119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09"/>
      <c r="AB143" s="109"/>
      <c r="AC143" s="109"/>
      <c r="AD143" s="109"/>
      <c r="AE143" s="109"/>
      <c r="AF143" s="109"/>
      <c r="AG143" s="109"/>
      <c r="AH143" s="109"/>
      <c r="AI143" s="109"/>
    </row>
    <row r="144">
      <c r="A144" s="112"/>
      <c r="B144" s="112"/>
      <c r="C144" s="112"/>
      <c r="D144" s="119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09"/>
      <c r="AB144" s="109"/>
      <c r="AC144" s="109"/>
      <c r="AD144" s="109"/>
      <c r="AE144" s="109"/>
      <c r="AF144" s="109"/>
      <c r="AG144" s="109"/>
      <c r="AH144" s="109"/>
      <c r="AI144" s="109"/>
    </row>
    <row r="145">
      <c r="A145" s="112"/>
      <c r="B145" s="112"/>
      <c r="C145" s="112"/>
      <c r="D145" s="119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09"/>
      <c r="AB145" s="109"/>
      <c r="AC145" s="109"/>
      <c r="AD145" s="109"/>
      <c r="AE145" s="109"/>
      <c r="AF145" s="109"/>
      <c r="AG145" s="109"/>
      <c r="AH145" s="109"/>
      <c r="AI145" s="109"/>
    </row>
    <row r="146">
      <c r="A146" s="112"/>
      <c r="B146" s="112"/>
      <c r="C146" s="112"/>
      <c r="D146" s="119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09"/>
      <c r="AB146" s="109"/>
      <c r="AC146" s="109"/>
      <c r="AD146" s="109"/>
      <c r="AE146" s="109"/>
      <c r="AF146" s="109"/>
      <c r="AG146" s="109"/>
      <c r="AH146" s="109"/>
      <c r="AI146" s="109"/>
    </row>
    <row r="147">
      <c r="A147" s="112"/>
      <c r="B147" s="112"/>
      <c r="C147" s="112"/>
      <c r="D147" s="119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09"/>
      <c r="AB147" s="109"/>
      <c r="AC147" s="109"/>
      <c r="AD147" s="109"/>
      <c r="AE147" s="109"/>
      <c r="AF147" s="109"/>
      <c r="AG147" s="109"/>
      <c r="AH147" s="109"/>
      <c r="AI147" s="109"/>
    </row>
    <row r="148">
      <c r="A148" s="112"/>
      <c r="B148" s="112"/>
      <c r="C148" s="112"/>
      <c r="D148" s="119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09"/>
      <c r="AB148" s="109"/>
      <c r="AC148" s="109"/>
      <c r="AD148" s="109"/>
      <c r="AE148" s="109"/>
      <c r="AF148" s="109"/>
      <c r="AG148" s="109"/>
      <c r="AH148" s="109"/>
      <c r="AI148" s="109"/>
    </row>
    <row r="149">
      <c r="A149" s="112"/>
      <c r="B149" s="112"/>
      <c r="C149" s="112"/>
      <c r="D149" s="119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09"/>
      <c r="AB149" s="109"/>
      <c r="AC149" s="109"/>
      <c r="AD149" s="109"/>
      <c r="AE149" s="109"/>
      <c r="AF149" s="109"/>
      <c r="AG149" s="109"/>
      <c r="AH149" s="109"/>
      <c r="AI149" s="109"/>
    </row>
    <row r="150">
      <c r="A150" s="112"/>
      <c r="B150" s="112"/>
      <c r="C150" s="112"/>
      <c r="D150" s="119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09"/>
      <c r="AB150" s="109"/>
      <c r="AC150" s="109"/>
      <c r="AD150" s="109"/>
      <c r="AE150" s="109"/>
      <c r="AF150" s="109"/>
      <c r="AG150" s="109"/>
      <c r="AH150" s="109"/>
      <c r="AI150" s="109"/>
    </row>
    <row r="151">
      <c r="A151" s="112"/>
      <c r="B151" s="112"/>
      <c r="C151" s="112"/>
      <c r="D151" s="119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09"/>
      <c r="AB151" s="109"/>
      <c r="AC151" s="109"/>
      <c r="AD151" s="109"/>
      <c r="AE151" s="109"/>
      <c r="AF151" s="109"/>
      <c r="AG151" s="109"/>
      <c r="AH151" s="109"/>
      <c r="AI151" s="109"/>
    </row>
    <row r="152">
      <c r="A152" s="112"/>
      <c r="B152" s="112"/>
      <c r="C152" s="112"/>
      <c r="D152" s="119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09"/>
      <c r="AB152" s="109"/>
      <c r="AC152" s="109"/>
      <c r="AD152" s="109"/>
      <c r="AE152" s="109"/>
      <c r="AF152" s="109"/>
      <c r="AG152" s="109"/>
      <c r="AH152" s="109"/>
      <c r="AI152" s="109"/>
    </row>
    <row r="153">
      <c r="A153" s="112"/>
      <c r="B153" s="112"/>
      <c r="C153" s="112"/>
      <c r="D153" s="119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09"/>
      <c r="AB153" s="109"/>
      <c r="AC153" s="109"/>
      <c r="AD153" s="109"/>
      <c r="AE153" s="109"/>
      <c r="AF153" s="109"/>
      <c r="AG153" s="109"/>
      <c r="AH153" s="109"/>
      <c r="AI153" s="109"/>
    </row>
    <row r="154">
      <c r="A154" s="112"/>
      <c r="B154" s="112"/>
      <c r="C154" s="112"/>
      <c r="D154" s="119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09"/>
      <c r="AB154" s="109"/>
      <c r="AC154" s="109"/>
      <c r="AD154" s="109"/>
      <c r="AE154" s="109"/>
      <c r="AF154" s="109"/>
      <c r="AG154" s="109"/>
      <c r="AH154" s="109"/>
      <c r="AI154" s="109"/>
    </row>
    <row r="155">
      <c r="A155" s="112"/>
      <c r="B155" s="112"/>
      <c r="C155" s="112"/>
      <c r="D155" s="119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09"/>
      <c r="AB155" s="109"/>
      <c r="AC155" s="109"/>
      <c r="AD155" s="109"/>
      <c r="AE155" s="109"/>
      <c r="AF155" s="109"/>
      <c r="AG155" s="109"/>
      <c r="AH155" s="109"/>
      <c r="AI155" s="109"/>
    </row>
    <row r="156">
      <c r="A156" s="112"/>
      <c r="B156" s="112"/>
      <c r="C156" s="112"/>
      <c r="D156" s="119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09"/>
      <c r="AB156" s="109"/>
      <c r="AC156" s="109"/>
      <c r="AD156" s="109"/>
      <c r="AE156" s="109"/>
      <c r="AF156" s="109"/>
      <c r="AG156" s="109"/>
      <c r="AH156" s="109"/>
      <c r="AI156" s="109"/>
    </row>
    <row r="157">
      <c r="A157" s="112"/>
      <c r="B157" s="112"/>
      <c r="C157" s="112"/>
      <c r="D157" s="119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09"/>
      <c r="AB157" s="109"/>
      <c r="AC157" s="109"/>
      <c r="AD157" s="109"/>
      <c r="AE157" s="109"/>
      <c r="AF157" s="109"/>
      <c r="AG157" s="109"/>
      <c r="AH157" s="109"/>
      <c r="AI157" s="109"/>
    </row>
    <row r="158">
      <c r="A158" s="112"/>
      <c r="B158" s="112"/>
      <c r="C158" s="112"/>
      <c r="D158" s="119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09"/>
      <c r="AB158" s="109"/>
      <c r="AC158" s="109"/>
      <c r="AD158" s="109"/>
      <c r="AE158" s="109"/>
      <c r="AF158" s="109"/>
      <c r="AG158" s="109"/>
      <c r="AH158" s="109"/>
      <c r="AI158" s="109"/>
    </row>
    <row r="159">
      <c r="A159" s="112"/>
      <c r="B159" s="112"/>
      <c r="C159" s="112"/>
      <c r="D159" s="119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09"/>
      <c r="AB159" s="109"/>
      <c r="AC159" s="109"/>
      <c r="AD159" s="109"/>
      <c r="AE159" s="109"/>
      <c r="AF159" s="109"/>
      <c r="AG159" s="109"/>
      <c r="AH159" s="109"/>
      <c r="AI159" s="109"/>
    </row>
    <row r="160">
      <c r="A160" s="112"/>
      <c r="B160" s="112"/>
      <c r="C160" s="112"/>
      <c r="D160" s="119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09"/>
      <c r="AB160" s="109"/>
      <c r="AC160" s="109"/>
      <c r="AD160" s="109"/>
      <c r="AE160" s="109"/>
      <c r="AF160" s="109"/>
      <c r="AG160" s="109"/>
      <c r="AH160" s="109"/>
      <c r="AI160" s="109"/>
    </row>
    <row r="161">
      <c r="A161" s="112"/>
      <c r="B161" s="112"/>
      <c r="C161" s="112"/>
      <c r="D161" s="119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09"/>
      <c r="AB161" s="109"/>
      <c r="AC161" s="109"/>
      <c r="AD161" s="109"/>
      <c r="AE161" s="109"/>
      <c r="AF161" s="109"/>
      <c r="AG161" s="109"/>
      <c r="AH161" s="109"/>
      <c r="AI161" s="109"/>
    </row>
    <row r="162">
      <c r="A162" s="112"/>
      <c r="B162" s="112"/>
      <c r="C162" s="112"/>
      <c r="D162" s="119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09"/>
      <c r="AB162" s="109"/>
      <c r="AC162" s="109"/>
      <c r="AD162" s="109"/>
      <c r="AE162" s="109"/>
      <c r="AF162" s="109"/>
      <c r="AG162" s="109"/>
      <c r="AH162" s="109"/>
      <c r="AI162" s="109"/>
    </row>
    <row r="163">
      <c r="A163" s="112"/>
      <c r="B163" s="112"/>
      <c r="C163" s="112"/>
      <c r="D163" s="119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09"/>
      <c r="AB163" s="109"/>
      <c r="AC163" s="109"/>
      <c r="AD163" s="109"/>
      <c r="AE163" s="109"/>
      <c r="AF163" s="109"/>
      <c r="AG163" s="109"/>
      <c r="AH163" s="109"/>
      <c r="AI163" s="109"/>
    </row>
    <row r="164">
      <c r="A164" s="112"/>
      <c r="B164" s="112"/>
      <c r="C164" s="112"/>
      <c r="D164" s="119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09"/>
      <c r="AB164" s="109"/>
      <c r="AC164" s="109"/>
      <c r="AD164" s="109"/>
      <c r="AE164" s="109"/>
      <c r="AF164" s="109"/>
      <c r="AG164" s="109"/>
      <c r="AH164" s="109"/>
      <c r="AI164" s="109"/>
    </row>
    <row r="165">
      <c r="A165" s="112"/>
      <c r="B165" s="112"/>
      <c r="C165" s="112"/>
      <c r="D165" s="119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09"/>
      <c r="AB165" s="109"/>
      <c r="AC165" s="109"/>
      <c r="AD165" s="109"/>
      <c r="AE165" s="109"/>
      <c r="AF165" s="109"/>
      <c r="AG165" s="109"/>
      <c r="AH165" s="109"/>
      <c r="AI165" s="109"/>
    </row>
    <row r="166">
      <c r="A166" s="112"/>
      <c r="B166" s="112"/>
      <c r="C166" s="112"/>
      <c r="D166" s="119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09"/>
      <c r="AB166" s="109"/>
      <c r="AC166" s="109"/>
      <c r="AD166" s="109"/>
      <c r="AE166" s="109"/>
      <c r="AF166" s="109"/>
      <c r="AG166" s="109"/>
      <c r="AH166" s="109"/>
      <c r="AI166" s="109"/>
    </row>
    <row r="167">
      <c r="A167" s="112"/>
      <c r="B167" s="112"/>
      <c r="C167" s="112"/>
      <c r="D167" s="119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09"/>
      <c r="AB167" s="109"/>
      <c r="AC167" s="109"/>
      <c r="AD167" s="109"/>
      <c r="AE167" s="109"/>
      <c r="AF167" s="109"/>
      <c r="AG167" s="109"/>
      <c r="AH167" s="109"/>
      <c r="AI167" s="109"/>
    </row>
    <row r="168">
      <c r="A168" s="112"/>
      <c r="B168" s="112"/>
      <c r="C168" s="112"/>
      <c r="D168" s="119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09"/>
      <c r="AB168" s="109"/>
      <c r="AC168" s="109"/>
      <c r="AD168" s="109"/>
      <c r="AE168" s="109"/>
      <c r="AF168" s="109"/>
      <c r="AG168" s="109"/>
      <c r="AH168" s="109"/>
      <c r="AI168" s="109"/>
    </row>
    <row r="169">
      <c r="A169" s="112"/>
      <c r="B169" s="112"/>
      <c r="C169" s="112"/>
      <c r="D169" s="119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09"/>
      <c r="AB169" s="109"/>
      <c r="AC169" s="109"/>
      <c r="AD169" s="109"/>
      <c r="AE169" s="109"/>
      <c r="AF169" s="109"/>
      <c r="AG169" s="109"/>
      <c r="AH169" s="109"/>
      <c r="AI169" s="109"/>
    </row>
    <row r="170">
      <c r="A170" s="112"/>
      <c r="B170" s="112"/>
      <c r="C170" s="112"/>
      <c r="D170" s="119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09"/>
      <c r="AB170" s="109"/>
      <c r="AC170" s="109"/>
      <c r="AD170" s="109"/>
      <c r="AE170" s="109"/>
      <c r="AF170" s="109"/>
      <c r="AG170" s="109"/>
      <c r="AH170" s="109"/>
      <c r="AI170" s="109"/>
    </row>
    <row r="171">
      <c r="A171" s="112"/>
      <c r="B171" s="112"/>
      <c r="C171" s="112"/>
      <c r="D171" s="119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09"/>
      <c r="AB171" s="109"/>
      <c r="AC171" s="109"/>
      <c r="AD171" s="109"/>
      <c r="AE171" s="109"/>
      <c r="AF171" s="109"/>
      <c r="AG171" s="109"/>
      <c r="AH171" s="109"/>
      <c r="AI171" s="109"/>
    </row>
    <row r="172">
      <c r="A172" s="112"/>
      <c r="B172" s="112"/>
      <c r="C172" s="112"/>
      <c r="D172" s="119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09"/>
      <c r="AB172" s="109"/>
      <c r="AC172" s="109"/>
      <c r="AD172" s="109"/>
      <c r="AE172" s="109"/>
      <c r="AF172" s="109"/>
      <c r="AG172" s="109"/>
      <c r="AH172" s="109"/>
      <c r="AI172" s="109"/>
    </row>
    <row r="173">
      <c r="A173" s="112"/>
      <c r="B173" s="112"/>
      <c r="C173" s="112"/>
      <c r="D173" s="119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09"/>
      <c r="AB173" s="109"/>
      <c r="AC173" s="109"/>
      <c r="AD173" s="109"/>
      <c r="AE173" s="109"/>
      <c r="AF173" s="109"/>
      <c r="AG173" s="109"/>
      <c r="AH173" s="109"/>
      <c r="AI173" s="109"/>
    </row>
    <row r="174">
      <c r="A174" s="112"/>
      <c r="B174" s="112"/>
      <c r="C174" s="112"/>
      <c r="D174" s="119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09"/>
      <c r="AB174" s="109"/>
      <c r="AC174" s="109"/>
      <c r="AD174" s="109"/>
      <c r="AE174" s="109"/>
      <c r="AF174" s="109"/>
      <c r="AG174" s="109"/>
      <c r="AH174" s="109"/>
      <c r="AI174" s="109"/>
    </row>
    <row r="175">
      <c r="A175" s="112"/>
      <c r="B175" s="112"/>
      <c r="C175" s="112"/>
      <c r="D175" s="119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09"/>
      <c r="AB175" s="109"/>
      <c r="AC175" s="109"/>
      <c r="AD175" s="109"/>
      <c r="AE175" s="109"/>
      <c r="AF175" s="109"/>
      <c r="AG175" s="109"/>
      <c r="AH175" s="109"/>
      <c r="AI175" s="109"/>
    </row>
    <row r="176">
      <c r="A176" s="112"/>
      <c r="B176" s="112"/>
      <c r="C176" s="112"/>
      <c r="D176" s="119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09"/>
      <c r="AB176" s="109"/>
      <c r="AC176" s="109"/>
      <c r="AD176" s="109"/>
      <c r="AE176" s="109"/>
      <c r="AF176" s="109"/>
      <c r="AG176" s="109"/>
      <c r="AH176" s="109"/>
      <c r="AI176" s="109"/>
    </row>
    <row r="177">
      <c r="A177" s="112"/>
      <c r="B177" s="112"/>
      <c r="C177" s="112"/>
      <c r="D177" s="119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09"/>
      <c r="AB177" s="109"/>
      <c r="AC177" s="109"/>
      <c r="AD177" s="109"/>
      <c r="AE177" s="109"/>
      <c r="AF177" s="109"/>
      <c r="AG177" s="109"/>
      <c r="AH177" s="109"/>
      <c r="AI177" s="109"/>
    </row>
    <row r="178">
      <c r="A178" s="112"/>
      <c r="B178" s="112"/>
      <c r="C178" s="112"/>
      <c r="D178" s="119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09"/>
      <c r="AB178" s="109"/>
      <c r="AC178" s="109"/>
      <c r="AD178" s="109"/>
      <c r="AE178" s="109"/>
      <c r="AF178" s="109"/>
      <c r="AG178" s="109"/>
      <c r="AH178" s="109"/>
      <c r="AI178" s="109"/>
    </row>
    <row r="179">
      <c r="A179" s="112"/>
      <c r="B179" s="112"/>
      <c r="C179" s="112"/>
      <c r="D179" s="119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09"/>
      <c r="AB179" s="109"/>
      <c r="AC179" s="109"/>
      <c r="AD179" s="109"/>
      <c r="AE179" s="109"/>
      <c r="AF179" s="109"/>
      <c r="AG179" s="109"/>
      <c r="AH179" s="109"/>
      <c r="AI179" s="109"/>
    </row>
    <row r="180">
      <c r="A180" s="112"/>
      <c r="B180" s="112"/>
      <c r="C180" s="112"/>
      <c r="D180" s="119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09"/>
      <c r="AB180" s="109"/>
      <c r="AC180" s="109"/>
      <c r="AD180" s="109"/>
      <c r="AE180" s="109"/>
      <c r="AF180" s="109"/>
      <c r="AG180" s="109"/>
      <c r="AH180" s="109"/>
      <c r="AI180" s="109"/>
    </row>
    <row r="181">
      <c r="A181" s="112"/>
      <c r="B181" s="112"/>
      <c r="C181" s="112"/>
      <c r="D181" s="119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09"/>
      <c r="AB181" s="109"/>
      <c r="AC181" s="109"/>
      <c r="AD181" s="109"/>
      <c r="AE181" s="109"/>
      <c r="AF181" s="109"/>
      <c r="AG181" s="109"/>
      <c r="AH181" s="109"/>
      <c r="AI181" s="109"/>
    </row>
    <row r="182">
      <c r="A182" s="112"/>
      <c r="B182" s="112"/>
      <c r="C182" s="112"/>
      <c r="D182" s="119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09"/>
      <c r="AB182" s="109"/>
      <c r="AC182" s="109"/>
      <c r="AD182" s="109"/>
      <c r="AE182" s="109"/>
      <c r="AF182" s="109"/>
      <c r="AG182" s="109"/>
      <c r="AH182" s="109"/>
      <c r="AI182" s="109"/>
    </row>
    <row r="183">
      <c r="A183" s="112"/>
      <c r="B183" s="112"/>
      <c r="C183" s="112"/>
      <c r="D183" s="119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09"/>
      <c r="AB183" s="109"/>
      <c r="AC183" s="109"/>
      <c r="AD183" s="109"/>
      <c r="AE183" s="109"/>
      <c r="AF183" s="109"/>
      <c r="AG183" s="109"/>
      <c r="AH183" s="109"/>
      <c r="AI183" s="109"/>
    </row>
    <row r="184">
      <c r="A184" s="112"/>
      <c r="B184" s="112"/>
      <c r="C184" s="112"/>
      <c r="D184" s="119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09"/>
      <c r="AB184" s="109"/>
      <c r="AC184" s="109"/>
      <c r="AD184" s="109"/>
      <c r="AE184" s="109"/>
      <c r="AF184" s="109"/>
      <c r="AG184" s="109"/>
      <c r="AH184" s="109"/>
      <c r="AI184" s="109"/>
    </row>
    <row r="185">
      <c r="A185" s="112"/>
      <c r="B185" s="112"/>
      <c r="C185" s="112"/>
      <c r="D185" s="119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09"/>
      <c r="AB185" s="109"/>
      <c r="AC185" s="109"/>
      <c r="AD185" s="109"/>
      <c r="AE185" s="109"/>
      <c r="AF185" s="109"/>
      <c r="AG185" s="109"/>
      <c r="AH185" s="109"/>
      <c r="AI185" s="109"/>
    </row>
    <row r="186">
      <c r="A186" s="112"/>
      <c r="B186" s="112"/>
      <c r="C186" s="112"/>
      <c r="D186" s="119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09"/>
      <c r="AB186" s="109"/>
      <c r="AC186" s="109"/>
      <c r="AD186" s="109"/>
      <c r="AE186" s="109"/>
      <c r="AF186" s="109"/>
      <c r="AG186" s="109"/>
      <c r="AH186" s="109"/>
      <c r="AI186" s="109"/>
    </row>
    <row r="187">
      <c r="A187" s="112"/>
      <c r="B187" s="112"/>
      <c r="C187" s="112"/>
      <c r="D187" s="119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09"/>
      <c r="AB187" s="109"/>
      <c r="AC187" s="109"/>
      <c r="AD187" s="109"/>
      <c r="AE187" s="109"/>
      <c r="AF187" s="109"/>
      <c r="AG187" s="109"/>
      <c r="AH187" s="109"/>
      <c r="AI187" s="109"/>
    </row>
    <row r="188">
      <c r="A188" s="112"/>
      <c r="B188" s="112"/>
      <c r="C188" s="112"/>
      <c r="D188" s="119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09"/>
      <c r="AB188" s="109"/>
      <c r="AC188" s="109"/>
      <c r="AD188" s="109"/>
      <c r="AE188" s="109"/>
      <c r="AF188" s="109"/>
      <c r="AG188" s="109"/>
      <c r="AH188" s="109"/>
      <c r="AI188" s="109"/>
    </row>
    <row r="189">
      <c r="A189" s="112"/>
      <c r="B189" s="112"/>
      <c r="C189" s="112"/>
      <c r="D189" s="119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09"/>
      <c r="AB189" s="109"/>
      <c r="AC189" s="109"/>
      <c r="AD189" s="109"/>
      <c r="AE189" s="109"/>
      <c r="AF189" s="109"/>
      <c r="AG189" s="109"/>
      <c r="AH189" s="109"/>
      <c r="AI189" s="109"/>
    </row>
    <row r="190">
      <c r="A190" s="112"/>
      <c r="B190" s="112"/>
      <c r="C190" s="112"/>
      <c r="D190" s="119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09"/>
      <c r="AB190" s="109"/>
      <c r="AC190" s="109"/>
      <c r="AD190" s="109"/>
      <c r="AE190" s="109"/>
      <c r="AF190" s="109"/>
      <c r="AG190" s="109"/>
      <c r="AH190" s="109"/>
      <c r="AI190" s="109"/>
    </row>
    <row r="191">
      <c r="A191" s="112"/>
      <c r="B191" s="112"/>
      <c r="C191" s="112"/>
      <c r="D191" s="119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09"/>
      <c r="AB191" s="109"/>
      <c r="AC191" s="109"/>
      <c r="AD191" s="109"/>
      <c r="AE191" s="109"/>
      <c r="AF191" s="109"/>
      <c r="AG191" s="109"/>
      <c r="AH191" s="109"/>
      <c r="AI191" s="109"/>
    </row>
    <row r="192">
      <c r="A192" s="112"/>
      <c r="B192" s="112"/>
      <c r="C192" s="112"/>
      <c r="D192" s="119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09"/>
      <c r="AB192" s="109"/>
      <c r="AC192" s="109"/>
      <c r="AD192" s="109"/>
      <c r="AE192" s="109"/>
      <c r="AF192" s="109"/>
      <c r="AG192" s="109"/>
      <c r="AH192" s="109"/>
      <c r="AI192" s="109"/>
    </row>
    <row r="193">
      <c r="A193" s="112"/>
      <c r="B193" s="112"/>
      <c r="C193" s="112"/>
      <c r="D193" s="119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09"/>
      <c r="AB193" s="109"/>
      <c r="AC193" s="109"/>
      <c r="AD193" s="109"/>
      <c r="AE193" s="109"/>
      <c r="AF193" s="109"/>
      <c r="AG193" s="109"/>
      <c r="AH193" s="109"/>
      <c r="AI193" s="109"/>
    </row>
    <row r="194">
      <c r="A194" s="112"/>
      <c r="B194" s="112"/>
      <c r="C194" s="112"/>
      <c r="D194" s="119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09"/>
      <c r="AB194" s="109"/>
      <c r="AC194" s="109"/>
      <c r="AD194" s="109"/>
      <c r="AE194" s="109"/>
      <c r="AF194" s="109"/>
      <c r="AG194" s="109"/>
      <c r="AH194" s="109"/>
      <c r="AI194" s="109"/>
    </row>
    <row r="195">
      <c r="A195" s="112"/>
      <c r="B195" s="112"/>
      <c r="C195" s="112"/>
      <c r="D195" s="119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09"/>
      <c r="AB195" s="109"/>
      <c r="AC195" s="109"/>
      <c r="AD195" s="109"/>
      <c r="AE195" s="109"/>
      <c r="AF195" s="109"/>
      <c r="AG195" s="109"/>
      <c r="AH195" s="109"/>
      <c r="AI195" s="109"/>
    </row>
    <row r="196">
      <c r="A196" s="112"/>
      <c r="B196" s="112"/>
      <c r="C196" s="112"/>
      <c r="D196" s="119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09"/>
      <c r="AB196" s="109"/>
      <c r="AC196" s="109"/>
      <c r="AD196" s="109"/>
      <c r="AE196" s="109"/>
      <c r="AF196" s="109"/>
      <c r="AG196" s="109"/>
      <c r="AH196" s="109"/>
      <c r="AI196" s="109"/>
    </row>
    <row r="197">
      <c r="A197" s="112"/>
      <c r="B197" s="112"/>
      <c r="C197" s="112"/>
      <c r="D197" s="119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09"/>
      <c r="AB197" s="109"/>
      <c r="AC197" s="109"/>
      <c r="AD197" s="109"/>
      <c r="AE197" s="109"/>
      <c r="AF197" s="109"/>
      <c r="AG197" s="109"/>
      <c r="AH197" s="109"/>
      <c r="AI197" s="109"/>
    </row>
    <row r="198">
      <c r="A198" s="112"/>
      <c r="B198" s="112"/>
      <c r="C198" s="112"/>
      <c r="D198" s="119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09"/>
      <c r="AB198" s="109"/>
      <c r="AC198" s="109"/>
      <c r="AD198" s="109"/>
      <c r="AE198" s="109"/>
      <c r="AF198" s="109"/>
      <c r="AG198" s="109"/>
      <c r="AH198" s="109"/>
      <c r="AI198" s="109"/>
    </row>
    <row r="199">
      <c r="A199" s="112"/>
      <c r="B199" s="112"/>
      <c r="C199" s="112"/>
      <c r="D199" s="119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09"/>
      <c r="AB199" s="109"/>
      <c r="AC199" s="109"/>
      <c r="AD199" s="109"/>
      <c r="AE199" s="109"/>
      <c r="AF199" s="109"/>
      <c r="AG199" s="109"/>
      <c r="AH199" s="109"/>
      <c r="AI199" s="109"/>
    </row>
    <row r="200">
      <c r="A200" s="112"/>
      <c r="B200" s="112"/>
      <c r="C200" s="112"/>
      <c r="D200" s="119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09"/>
      <c r="AB200" s="109"/>
      <c r="AC200" s="109"/>
      <c r="AD200" s="109"/>
      <c r="AE200" s="109"/>
      <c r="AF200" s="109"/>
      <c r="AG200" s="109"/>
      <c r="AH200" s="109"/>
      <c r="AI200" s="109"/>
    </row>
    <row r="201">
      <c r="A201" s="112"/>
      <c r="B201" s="112"/>
      <c r="C201" s="112"/>
      <c r="D201" s="119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09"/>
      <c r="AB201" s="109"/>
      <c r="AC201" s="109"/>
      <c r="AD201" s="109"/>
      <c r="AE201" s="109"/>
      <c r="AF201" s="109"/>
      <c r="AG201" s="109"/>
      <c r="AH201" s="109"/>
      <c r="AI201" s="109"/>
    </row>
    <row r="202">
      <c r="A202" s="112"/>
      <c r="B202" s="112"/>
      <c r="C202" s="112"/>
      <c r="D202" s="119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09"/>
      <c r="AB202" s="109"/>
      <c r="AC202" s="109"/>
      <c r="AD202" s="109"/>
      <c r="AE202" s="109"/>
      <c r="AF202" s="109"/>
      <c r="AG202" s="109"/>
      <c r="AH202" s="109"/>
      <c r="AI202" s="109"/>
    </row>
    <row r="203">
      <c r="A203" s="112"/>
      <c r="B203" s="112"/>
      <c r="C203" s="112"/>
      <c r="D203" s="119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09"/>
      <c r="AB203" s="109"/>
      <c r="AC203" s="109"/>
      <c r="AD203" s="109"/>
      <c r="AE203" s="109"/>
      <c r="AF203" s="109"/>
      <c r="AG203" s="109"/>
      <c r="AH203" s="109"/>
      <c r="AI203" s="109"/>
    </row>
    <row r="204">
      <c r="A204" s="112"/>
      <c r="B204" s="112"/>
      <c r="C204" s="112"/>
      <c r="D204" s="119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09"/>
      <c r="AB204" s="109"/>
      <c r="AC204" s="109"/>
      <c r="AD204" s="109"/>
      <c r="AE204" s="109"/>
      <c r="AF204" s="109"/>
      <c r="AG204" s="109"/>
      <c r="AH204" s="109"/>
      <c r="AI204" s="109"/>
    </row>
    <row r="205">
      <c r="A205" s="112"/>
      <c r="B205" s="112"/>
      <c r="C205" s="112"/>
      <c r="D205" s="119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09"/>
      <c r="AB205" s="109"/>
      <c r="AC205" s="109"/>
      <c r="AD205" s="109"/>
      <c r="AE205" s="109"/>
      <c r="AF205" s="109"/>
      <c r="AG205" s="109"/>
      <c r="AH205" s="109"/>
      <c r="AI205" s="109"/>
    </row>
    <row r="206">
      <c r="A206" s="112"/>
      <c r="B206" s="112"/>
      <c r="C206" s="112"/>
      <c r="D206" s="119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09"/>
      <c r="AB206" s="109"/>
      <c r="AC206" s="109"/>
      <c r="AD206" s="109"/>
      <c r="AE206" s="109"/>
      <c r="AF206" s="109"/>
      <c r="AG206" s="109"/>
      <c r="AH206" s="109"/>
      <c r="AI206" s="109"/>
    </row>
    <row r="207">
      <c r="A207" s="112"/>
      <c r="B207" s="112"/>
      <c r="C207" s="112"/>
      <c r="D207" s="119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09"/>
      <c r="AB207" s="109"/>
      <c r="AC207" s="109"/>
      <c r="AD207" s="109"/>
      <c r="AE207" s="109"/>
      <c r="AF207" s="109"/>
      <c r="AG207" s="109"/>
      <c r="AH207" s="109"/>
      <c r="AI207" s="109"/>
    </row>
    <row r="208">
      <c r="A208" s="112"/>
      <c r="B208" s="112"/>
      <c r="C208" s="112"/>
      <c r="D208" s="119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09"/>
      <c r="AB208" s="109"/>
      <c r="AC208" s="109"/>
      <c r="AD208" s="109"/>
      <c r="AE208" s="109"/>
      <c r="AF208" s="109"/>
      <c r="AG208" s="109"/>
      <c r="AH208" s="109"/>
      <c r="AI208" s="109"/>
    </row>
    <row r="209">
      <c r="A209" s="112"/>
      <c r="B209" s="112"/>
      <c r="C209" s="112"/>
      <c r="D209" s="119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09"/>
      <c r="AB209" s="109"/>
      <c r="AC209" s="109"/>
      <c r="AD209" s="109"/>
      <c r="AE209" s="109"/>
      <c r="AF209" s="109"/>
      <c r="AG209" s="109"/>
      <c r="AH209" s="109"/>
      <c r="AI209" s="109"/>
    </row>
    <row r="210">
      <c r="A210" s="112"/>
      <c r="B210" s="112"/>
      <c r="C210" s="112"/>
      <c r="D210" s="119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09"/>
      <c r="AB210" s="109"/>
      <c r="AC210" s="109"/>
      <c r="AD210" s="109"/>
      <c r="AE210" s="109"/>
      <c r="AF210" s="109"/>
      <c r="AG210" s="109"/>
      <c r="AH210" s="109"/>
      <c r="AI210" s="109"/>
    </row>
    <row r="211">
      <c r="A211" s="112"/>
      <c r="B211" s="112"/>
      <c r="C211" s="112"/>
      <c r="D211" s="119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09"/>
      <c r="AB211" s="109"/>
      <c r="AC211" s="109"/>
      <c r="AD211" s="109"/>
      <c r="AE211" s="109"/>
      <c r="AF211" s="109"/>
      <c r="AG211" s="109"/>
      <c r="AH211" s="109"/>
      <c r="AI211" s="109"/>
    </row>
    <row r="212">
      <c r="A212" s="112"/>
      <c r="B212" s="112"/>
      <c r="C212" s="112"/>
      <c r="D212" s="119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09"/>
      <c r="AB212" s="109"/>
      <c r="AC212" s="109"/>
      <c r="AD212" s="109"/>
      <c r="AE212" s="109"/>
      <c r="AF212" s="109"/>
      <c r="AG212" s="109"/>
      <c r="AH212" s="109"/>
      <c r="AI212" s="109"/>
    </row>
    <row r="213">
      <c r="A213" s="112"/>
      <c r="B213" s="112"/>
      <c r="C213" s="112"/>
      <c r="D213" s="119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09"/>
      <c r="AB213" s="109"/>
      <c r="AC213" s="109"/>
      <c r="AD213" s="109"/>
      <c r="AE213" s="109"/>
      <c r="AF213" s="109"/>
      <c r="AG213" s="109"/>
      <c r="AH213" s="109"/>
      <c r="AI213" s="109"/>
    </row>
    <row r="214">
      <c r="A214" s="112"/>
      <c r="B214" s="112"/>
      <c r="C214" s="112"/>
      <c r="D214" s="119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09"/>
      <c r="AB214" s="109"/>
      <c r="AC214" s="109"/>
      <c r="AD214" s="109"/>
      <c r="AE214" s="109"/>
      <c r="AF214" s="109"/>
      <c r="AG214" s="109"/>
      <c r="AH214" s="109"/>
      <c r="AI214" s="109"/>
    </row>
    <row r="215">
      <c r="A215" s="112"/>
      <c r="B215" s="112"/>
      <c r="C215" s="112"/>
      <c r="D215" s="119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09"/>
      <c r="AB215" s="109"/>
      <c r="AC215" s="109"/>
      <c r="AD215" s="109"/>
      <c r="AE215" s="109"/>
      <c r="AF215" s="109"/>
      <c r="AG215" s="109"/>
      <c r="AH215" s="109"/>
      <c r="AI215" s="109"/>
    </row>
    <row r="216">
      <c r="A216" s="112"/>
      <c r="B216" s="112"/>
      <c r="C216" s="112"/>
      <c r="D216" s="119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09"/>
      <c r="AB216" s="109"/>
      <c r="AC216" s="109"/>
      <c r="AD216" s="109"/>
      <c r="AE216" s="109"/>
      <c r="AF216" s="109"/>
      <c r="AG216" s="109"/>
      <c r="AH216" s="109"/>
      <c r="AI216" s="109"/>
    </row>
    <row r="217">
      <c r="A217" s="112"/>
      <c r="B217" s="112"/>
      <c r="C217" s="112"/>
      <c r="D217" s="119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09"/>
      <c r="AB217" s="109"/>
      <c r="AC217" s="109"/>
      <c r="AD217" s="109"/>
      <c r="AE217" s="109"/>
      <c r="AF217" s="109"/>
      <c r="AG217" s="109"/>
      <c r="AH217" s="109"/>
      <c r="AI217" s="109"/>
    </row>
    <row r="218">
      <c r="A218" s="112"/>
      <c r="B218" s="112"/>
      <c r="C218" s="112"/>
      <c r="D218" s="119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09"/>
      <c r="AB218" s="109"/>
      <c r="AC218" s="109"/>
      <c r="AD218" s="109"/>
      <c r="AE218" s="109"/>
      <c r="AF218" s="109"/>
      <c r="AG218" s="109"/>
      <c r="AH218" s="109"/>
      <c r="AI218" s="109"/>
    </row>
    <row r="219">
      <c r="A219" s="112"/>
      <c r="B219" s="112"/>
      <c r="C219" s="112"/>
      <c r="D219" s="119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09"/>
      <c r="AB219" s="109"/>
      <c r="AC219" s="109"/>
      <c r="AD219" s="109"/>
      <c r="AE219" s="109"/>
      <c r="AF219" s="109"/>
      <c r="AG219" s="109"/>
      <c r="AH219" s="109"/>
      <c r="AI219" s="109"/>
    </row>
    <row r="220">
      <c r="A220" s="112"/>
      <c r="B220" s="112"/>
      <c r="C220" s="112"/>
      <c r="D220" s="119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09"/>
      <c r="AB220" s="109"/>
      <c r="AC220" s="109"/>
      <c r="AD220" s="109"/>
      <c r="AE220" s="109"/>
      <c r="AF220" s="109"/>
      <c r="AG220" s="109"/>
      <c r="AH220" s="109"/>
      <c r="AI220" s="109"/>
    </row>
    <row r="221">
      <c r="A221" s="112"/>
      <c r="B221" s="112"/>
      <c r="C221" s="112"/>
      <c r="D221" s="119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09"/>
      <c r="AB221" s="109"/>
      <c r="AC221" s="109"/>
      <c r="AD221" s="109"/>
      <c r="AE221" s="109"/>
      <c r="AF221" s="109"/>
      <c r="AG221" s="109"/>
      <c r="AH221" s="109"/>
      <c r="AI221" s="109"/>
    </row>
    <row r="222">
      <c r="A222" s="112"/>
      <c r="B222" s="112"/>
      <c r="C222" s="112"/>
      <c r="D222" s="119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09"/>
      <c r="AB222" s="109"/>
      <c r="AC222" s="109"/>
      <c r="AD222" s="109"/>
      <c r="AE222" s="109"/>
      <c r="AF222" s="109"/>
      <c r="AG222" s="109"/>
      <c r="AH222" s="109"/>
      <c r="AI222" s="109"/>
    </row>
    <row r="223">
      <c r="A223" s="112"/>
      <c r="B223" s="112"/>
      <c r="C223" s="112"/>
      <c r="D223" s="119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09"/>
      <c r="AB223" s="109"/>
      <c r="AC223" s="109"/>
      <c r="AD223" s="109"/>
      <c r="AE223" s="109"/>
      <c r="AF223" s="109"/>
      <c r="AG223" s="109"/>
      <c r="AH223" s="109"/>
      <c r="AI223" s="109"/>
    </row>
    <row r="224">
      <c r="A224" s="112"/>
      <c r="B224" s="112"/>
      <c r="C224" s="112"/>
      <c r="D224" s="119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09"/>
      <c r="AB224" s="109"/>
      <c r="AC224" s="109"/>
      <c r="AD224" s="109"/>
      <c r="AE224" s="109"/>
      <c r="AF224" s="109"/>
      <c r="AG224" s="109"/>
      <c r="AH224" s="109"/>
      <c r="AI224" s="109"/>
    </row>
    <row r="225">
      <c r="A225" s="112"/>
      <c r="B225" s="112"/>
      <c r="C225" s="112"/>
      <c r="D225" s="119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09"/>
      <c r="AB225" s="109"/>
      <c r="AC225" s="109"/>
      <c r="AD225" s="109"/>
      <c r="AE225" s="109"/>
      <c r="AF225" s="109"/>
      <c r="AG225" s="109"/>
      <c r="AH225" s="109"/>
      <c r="AI225" s="109"/>
    </row>
    <row r="226">
      <c r="A226" s="112"/>
      <c r="B226" s="112"/>
      <c r="C226" s="112"/>
      <c r="D226" s="119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09"/>
      <c r="AB226" s="109"/>
      <c r="AC226" s="109"/>
      <c r="AD226" s="109"/>
      <c r="AE226" s="109"/>
      <c r="AF226" s="109"/>
      <c r="AG226" s="109"/>
      <c r="AH226" s="109"/>
      <c r="AI226" s="109"/>
    </row>
    <row r="227">
      <c r="A227" s="112"/>
      <c r="B227" s="112"/>
      <c r="C227" s="112"/>
      <c r="D227" s="119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09"/>
      <c r="AB227" s="109"/>
      <c r="AC227" s="109"/>
      <c r="AD227" s="109"/>
      <c r="AE227" s="109"/>
      <c r="AF227" s="109"/>
      <c r="AG227" s="109"/>
      <c r="AH227" s="109"/>
      <c r="AI227" s="109"/>
    </row>
    <row r="228">
      <c r="A228" s="112"/>
      <c r="B228" s="112"/>
      <c r="C228" s="112"/>
      <c r="D228" s="119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09"/>
      <c r="AB228" s="109"/>
      <c r="AC228" s="109"/>
      <c r="AD228" s="109"/>
      <c r="AE228" s="109"/>
      <c r="AF228" s="109"/>
      <c r="AG228" s="109"/>
      <c r="AH228" s="109"/>
      <c r="AI228" s="109"/>
    </row>
    <row r="229">
      <c r="A229" s="112"/>
      <c r="B229" s="112"/>
      <c r="C229" s="112"/>
      <c r="D229" s="119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09"/>
      <c r="AB229" s="109"/>
      <c r="AC229" s="109"/>
      <c r="AD229" s="109"/>
      <c r="AE229" s="109"/>
      <c r="AF229" s="109"/>
      <c r="AG229" s="109"/>
      <c r="AH229" s="109"/>
      <c r="AI229" s="109"/>
    </row>
    <row r="230">
      <c r="A230" s="112"/>
      <c r="B230" s="112"/>
      <c r="C230" s="112"/>
      <c r="D230" s="119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09"/>
      <c r="AB230" s="109"/>
      <c r="AC230" s="109"/>
      <c r="AD230" s="109"/>
      <c r="AE230" s="109"/>
      <c r="AF230" s="109"/>
      <c r="AG230" s="109"/>
      <c r="AH230" s="109"/>
      <c r="AI230" s="109"/>
    </row>
    <row r="231">
      <c r="A231" s="112"/>
      <c r="B231" s="112"/>
      <c r="C231" s="112"/>
      <c r="D231" s="119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09"/>
      <c r="AB231" s="109"/>
      <c r="AC231" s="109"/>
      <c r="AD231" s="109"/>
      <c r="AE231" s="109"/>
      <c r="AF231" s="109"/>
      <c r="AG231" s="109"/>
      <c r="AH231" s="109"/>
      <c r="AI231" s="109"/>
    </row>
    <row r="232">
      <c r="A232" s="112"/>
      <c r="B232" s="112"/>
      <c r="C232" s="112"/>
      <c r="D232" s="119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09"/>
      <c r="AB232" s="109"/>
      <c r="AC232" s="109"/>
      <c r="AD232" s="109"/>
      <c r="AE232" s="109"/>
      <c r="AF232" s="109"/>
      <c r="AG232" s="109"/>
      <c r="AH232" s="109"/>
      <c r="AI232" s="109"/>
    </row>
    <row r="233">
      <c r="A233" s="112"/>
      <c r="B233" s="112"/>
      <c r="C233" s="112"/>
      <c r="D233" s="119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09"/>
      <c r="AB233" s="109"/>
      <c r="AC233" s="109"/>
      <c r="AD233" s="109"/>
      <c r="AE233" s="109"/>
      <c r="AF233" s="109"/>
      <c r="AG233" s="109"/>
      <c r="AH233" s="109"/>
      <c r="AI233" s="109"/>
    </row>
    <row r="234">
      <c r="A234" s="112"/>
      <c r="B234" s="112"/>
      <c r="C234" s="112"/>
      <c r="D234" s="119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09"/>
      <c r="AB234" s="109"/>
      <c r="AC234" s="109"/>
      <c r="AD234" s="109"/>
      <c r="AE234" s="109"/>
      <c r="AF234" s="109"/>
      <c r="AG234" s="109"/>
      <c r="AH234" s="109"/>
      <c r="AI234" s="109"/>
    </row>
    <row r="235">
      <c r="A235" s="112"/>
      <c r="B235" s="112"/>
      <c r="C235" s="112"/>
      <c r="D235" s="119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09"/>
      <c r="AB235" s="109"/>
      <c r="AC235" s="109"/>
      <c r="AD235" s="109"/>
      <c r="AE235" s="109"/>
      <c r="AF235" s="109"/>
      <c r="AG235" s="109"/>
      <c r="AH235" s="109"/>
      <c r="AI235" s="109"/>
    </row>
    <row r="236">
      <c r="A236" s="112"/>
      <c r="B236" s="112"/>
      <c r="C236" s="112"/>
      <c r="D236" s="119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09"/>
      <c r="AB236" s="109"/>
      <c r="AC236" s="109"/>
      <c r="AD236" s="109"/>
      <c r="AE236" s="109"/>
      <c r="AF236" s="109"/>
      <c r="AG236" s="109"/>
      <c r="AH236" s="109"/>
      <c r="AI236" s="109"/>
    </row>
    <row r="237">
      <c r="A237" s="112"/>
      <c r="B237" s="112"/>
      <c r="C237" s="112"/>
      <c r="D237" s="119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09"/>
      <c r="AB237" s="109"/>
      <c r="AC237" s="109"/>
      <c r="AD237" s="109"/>
      <c r="AE237" s="109"/>
      <c r="AF237" s="109"/>
      <c r="AG237" s="109"/>
      <c r="AH237" s="109"/>
      <c r="AI237" s="109"/>
    </row>
    <row r="238">
      <c r="A238" s="112"/>
      <c r="B238" s="112"/>
      <c r="C238" s="112"/>
      <c r="D238" s="119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09"/>
      <c r="AB238" s="109"/>
      <c r="AC238" s="109"/>
      <c r="AD238" s="109"/>
      <c r="AE238" s="109"/>
      <c r="AF238" s="109"/>
      <c r="AG238" s="109"/>
      <c r="AH238" s="109"/>
      <c r="AI238" s="109"/>
    </row>
    <row r="239">
      <c r="A239" s="112"/>
      <c r="B239" s="112"/>
      <c r="C239" s="112"/>
      <c r="D239" s="119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09"/>
      <c r="AB239" s="109"/>
      <c r="AC239" s="109"/>
      <c r="AD239" s="109"/>
      <c r="AE239" s="109"/>
      <c r="AF239" s="109"/>
      <c r="AG239" s="109"/>
      <c r="AH239" s="109"/>
      <c r="AI239" s="109"/>
    </row>
    <row r="240">
      <c r="A240" s="112"/>
      <c r="B240" s="112"/>
      <c r="C240" s="112"/>
      <c r="D240" s="119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09"/>
      <c r="AB240" s="109"/>
      <c r="AC240" s="109"/>
      <c r="AD240" s="109"/>
      <c r="AE240" s="109"/>
      <c r="AF240" s="109"/>
      <c r="AG240" s="109"/>
      <c r="AH240" s="109"/>
      <c r="AI240" s="109"/>
    </row>
    <row r="241">
      <c r="A241" s="112"/>
      <c r="B241" s="112"/>
      <c r="C241" s="112"/>
      <c r="D241" s="119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09"/>
      <c r="AB241" s="109"/>
      <c r="AC241" s="109"/>
      <c r="AD241" s="109"/>
      <c r="AE241" s="109"/>
      <c r="AF241" s="109"/>
      <c r="AG241" s="109"/>
      <c r="AH241" s="109"/>
      <c r="AI241" s="109"/>
    </row>
    <row r="242">
      <c r="A242" s="112"/>
      <c r="B242" s="112"/>
      <c r="C242" s="112"/>
      <c r="D242" s="119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09"/>
      <c r="AB242" s="109"/>
      <c r="AC242" s="109"/>
      <c r="AD242" s="109"/>
      <c r="AE242" s="109"/>
      <c r="AF242" s="109"/>
      <c r="AG242" s="109"/>
      <c r="AH242" s="109"/>
      <c r="AI242" s="109"/>
    </row>
    <row r="243">
      <c r="A243" s="112"/>
      <c r="B243" s="112"/>
      <c r="C243" s="112"/>
      <c r="D243" s="119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09"/>
      <c r="AB243" s="109"/>
      <c r="AC243" s="109"/>
      <c r="AD243" s="109"/>
      <c r="AE243" s="109"/>
      <c r="AF243" s="109"/>
      <c r="AG243" s="109"/>
      <c r="AH243" s="109"/>
      <c r="AI243" s="109"/>
    </row>
    <row r="244">
      <c r="A244" s="112"/>
      <c r="B244" s="112"/>
      <c r="C244" s="112"/>
      <c r="D244" s="119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09"/>
      <c r="AB244" s="109"/>
      <c r="AC244" s="109"/>
      <c r="AD244" s="109"/>
      <c r="AE244" s="109"/>
      <c r="AF244" s="109"/>
      <c r="AG244" s="109"/>
      <c r="AH244" s="109"/>
      <c r="AI244" s="109"/>
    </row>
    <row r="245">
      <c r="A245" s="112"/>
      <c r="B245" s="112"/>
      <c r="C245" s="112"/>
      <c r="D245" s="119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09"/>
      <c r="AB245" s="109"/>
      <c r="AC245" s="109"/>
      <c r="AD245" s="109"/>
      <c r="AE245" s="109"/>
      <c r="AF245" s="109"/>
      <c r="AG245" s="109"/>
      <c r="AH245" s="109"/>
      <c r="AI245" s="109"/>
    </row>
    <row r="246">
      <c r="A246" s="112"/>
      <c r="B246" s="112"/>
      <c r="C246" s="112"/>
      <c r="D246" s="119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09"/>
      <c r="AB246" s="109"/>
      <c r="AC246" s="109"/>
      <c r="AD246" s="109"/>
      <c r="AE246" s="109"/>
      <c r="AF246" s="109"/>
      <c r="AG246" s="109"/>
      <c r="AH246" s="109"/>
      <c r="AI246" s="109"/>
    </row>
    <row r="247">
      <c r="A247" s="112"/>
      <c r="B247" s="112"/>
      <c r="C247" s="112"/>
      <c r="D247" s="119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09"/>
      <c r="AB247" s="109"/>
      <c r="AC247" s="109"/>
      <c r="AD247" s="109"/>
      <c r="AE247" s="109"/>
      <c r="AF247" s="109"/>
      <c r="AG247" s="109"/>
      <c r="AH247" s="109"/>
      <c r="AI247" s="109"/>
    </row>
    <row r="248">
      <c r="A248" s="112"/>
      <c r="B248" s="112"/>
      <c r="C248" s="112"/>
      <c r="D248" s="119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09"/>
      <c r="AB248" s="109"/>
      <c r="AC248" s="109"/>
      <c r="AD248" s="109"/>
      <c r="AE248" s="109"/>
      <c r="AF248" s="109"/>
      <c r="AG248" s="109"/>
      <c r="AH248" s="109"/>
      <c r="AI248" s="109"/>
    </row>
    <row r="249">
      <c r="A249" s="112"/>
      <c r="B249" s="112"/>
      <c r="C249" s="112"/>
      <c r="D249" s="119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09"/>
      <c r="AB249" s="109"/>
      <c r="AC249" s="109"/>
      <c r="AD249" s="109"/>
      <c r="AE249" s="109"/>
      <c r="AF249" s="109"/>
      <c r="AG249" s="109"/>
      <c r="AH249" s="109"/>
      <c r="AI249" s="109"/>
    </row>
    <row r="250">
      <c r="A250" s="112"/>
      <c r="B250" s="112"/>
      <c r="C250" s="112"/>
      <c r="D250" s="119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09"/>
      <c r="AB250" s="109"/>
      <c r="AC250" s="109"/>
      <c r="AD250" s="109"/>
      <c r="AE250" s="109"/>
      <c r="AF250" s="109"/>
      <c r="AG250" s="109"/>
      <c r="AH250" s="109"/>
      <c r="AI250" s="109"/>
    </row>
    <row r="251">
      <c r="A251" s="112"/>
      <c r="B251" s="112"/>
      <c r="C251" s="112"/>
      <c r="D251" s="119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09"/>
      <c r="AB251" s="109"/>
      <c r="AC251" s="109"/>
      <c r="AD251" s="109"/>
      <c r="AE251" s="109"/>
      <c r="AF251" s="109"/>
      <c r="AG251" s="109"/>
      <c r="AH251" s="109"/>
      <c r="AI251" s="109"/>
    </row>
    <row r="252">
      <c r="A252" s="112"/>
      <c r="B252" s="112"/>
      <c r="C252" s="112"/>
      <c r="D252" s="119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09"/>
      <c r="AB252" s="109"/>
      <c r="AC252" s="109"/>
      <c r="AD252" s="109"/>
      <c r="AE252" s="109"/>
      <c r="AF252" s="109"/>
      <c r="AG252" s="109"/>
      <c r="AH252" s="109"/>
      <c r="AI252" s="109"/>
    </row>
    <row r="253">
      <c r="A253" s="112"/>
      <c r="B253" s="112"/>
      <c r="C253" s="112"/>
      <c r="D253" s="119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09"/>
      <c r="AB253" s="109"/>
      <c r="AC253" s="109"/>
      <c r="AD253" s="109"/>
      <c r="AE253" s="109"/>
      <c r="AF253" s="109"/>
      <c r="AG253" s="109"/>
      <c r="AH253" s="109"/>
      <c r="AI253" s="109"/>
    </row>
    <row r="254">
      <c r="A254" s="112"/>
      <c r="B254" s="112"/>
      <c r="C254" s="112"/>
      <c r="D254" s="119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09"/>
      <c r="AB254" s="109"/>
      <c r="AC254" s="109"/>
      <c r="AD254" s="109"/>
      <c r="AE254" s="109"/>
      <c r="AF254" s="109"/>
      <c r="AG254" s="109"/>
      <c r="AH254" s="109"/>
      <c r="AI254" s="109"/>
    </row>
    <row r="255">
      <c r="A255" s="112"/>
      <c r="B255" s="112"/>
      <c r="C255" s="112"/>
      <c r="D255" s="119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09"/>
      <c r="AB255" s="109"/>
      <c r="AC255" s="109"/>
      <c r="AD255" s="109"/>
      <c r="AE255" s="109"/>
      <c r="AF255" s="109"/>
      <c r="AG255" s="109"/>
      <c r="AH255" s="109"/>
      <c r="AI255" s="109"/>
    </row>
    <row r="256">
      <c r="A256" s="112"/>
      <c r="B256" s="112"/>
      <c r="C256" s="112"/>
      <c r="D256" s="119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09"/>
      <c r="AB256" s="109"/>
      <c r="AC256" s="109"/>
      <c r="AD256" s="109"/>
      <c r="AE256" s="109"/>
      <c r="AF256" s="109"/>
      <c r="AG256" s="109"/>
      <c r="AH256" s="109"/>
      <c r="AI256" s="109"/>
    </row>
    <row r="257">
      <c r="A257" s="112"/>
      <c r="B257" s="112"/>
      <c r="C257" s="112"/>
      <c r="D257" s="119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09"/>
      <c r="AB257" s="109"/>
      <c r="AC257" s="109"/>
      <c r="AD257" s="109"/>
      <c r="AE257" s="109"/>
      <c r="AF257" s="109"/>
      <c r="AG257" s="109"/>
      <c r="AH257" s="109"/>
      <c r="AI257" s="109"/>
    </row>
    <row r="258">
      <c r="A258" s="112"/>
      <c r="B258" s="112"/>
      <c r="C258" s="112"/>
      <c r="D258" s="119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09"/>
      <c r="AB258" s="109"/>
      <c r="AC258" s="109"/>
      <c r="AD258" s="109"/>
      <c r="AE258" s="109"/>
      <c r="AF258" s="109"/>
      <c r="AG258" s="109"/>
      <c r="AH258" s="109"/>
      <c r="AI258" s="109"/>
    </row>
    <row r="259">
      <c r="A259" s="112"/>
      <c r="B259" s="112"/>
      <c r="C259" s="112"/>
      <c r="D259" s="119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09"/>
      <c r="AB259" s="109"/>
      <c r="AC259" s="109"/>
      <c r="AD259" s="109"/>
      <c r="AE259" s="109"/>
      <c r="AF259" s="109"/>
      <c r="AG259" s="109"/>
      <c r="AH259" s="109"/>
      <c r="AI259" s="109"/>
    </row>
    <row r="260">
      <c r="A260" s="112"/>
      <c r="B260" s="112"/>
      <c r="C260" s="112"/>
      <c r="D260" s="119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09"/>
      <c r="AB260" s="109"/>
      <c r="AC260" s="109"/>
      <c r="AD260" s="109"/>
      <c r="AE260" s="109"/>
      <c r="AF260" s="109"/>
      <c r="AG260" s="109"/>
      <c r="AH260" s="109"/>
      <c r="AI260" s="109"/>
    </row>
    <row r="261">
      <c r="A261" s="112"/>
      <c r="B261" s="112"/>
      <c r="C261" s="112"/>
      <c r="D261" s="119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09"/>
      <c r="AB261" s="109"/>
      <c r="AC261" s="109"/>
      <c r="AD261" s="109"/>
      <c r="AE261" s="109"/>
      <c r="AF261" s="109"/>
      <c r="AG261" s="109"/>
      <c r="AH261" s="109"/>
      <c r="AI261" s="109"/>
    </row>
    <row r="262">
      <c r="A262" s="112"/>
      <c r="B262" s="112"/>
      <c r="C262" s="112"/>
      <c r="D262" s="119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09"/>
      <c r="AB262" s="109"/>
      <c r="AC262" s="109"/>
      <c r="AD262" s="109"/>
      <c r="AE262" s="109"/>
      <c r="AF262" s="109"/>
      <c r="AG262" s="109"/>
      <c r="AH262" s="109"/>
      <c r="AI262" s="109"/>
    </row>
    <row r="263">
      <c r="A263" s="112"/>
      <c r="B263" s="112"/>
      <c r="C263" s="112"/>
      <c r="D263" s="119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09"/>
      <c r="AB263" s="109"/>
      <c r="AC263" s="109"/>
      <c r="AD263" s="109"/>
      <c r="AE263" s="109"/>
      <c r="AF263" s="109"/>
      <c r="AG263" s="109"/>
      <c r="AH263" s="109"/>
      <c r="AI263" s="109"/>
    </row>
    <row r="264">
      <c r="A264" s="112"/>
      <c r="B264" s="112"/>
      <c r="C264" s="112"/>
      <c r="D264" s="119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09"/>
      <c r="AB264" s="109"/>
      <c r="AC264" s="109"/>
      <c r="AD264" s="109"/>
      <c r="AE264" s="109"/>
      <c r="AF264" s="109"/>
      <c r="AG264" s="109"/>
      <c r="AH264" s="109"/>
      <c r="AI264" s="109"/>
    </row>
    <row r="265">
      <c r="A265" s="112"/>
      <c r="B265" s="112"/>
      <c r="C265" s="112"/>
      <c r="D265" s="119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09"/>
      <c r="AB265" s="109"/>
      <c r="AC265" s="109"/>
      <c r="AD265" s="109"/>
      <c r="AE265" s="109"/>
      <c r="AF265" s="109"/>
      <c r="AG265" s="109"/>
      <c r="AH265" s="109"/>
      <c r="AI265" s="109"/>
    </row>
    <row r="266">
      <c r="A266" s="112"/>
      <c r="B266" s="112"/>
      <c r="C266" s="112"/>
      <c r="D266" s="119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09"/>
      <c r="AB266" s="109"/>
      <c r="AC266" s="109"/>
      <c r="AD266" s="109"/>
      <c r="AE266" s="109"/>
      <c r="AF266" s="109"/>
      <c r="AG266" s="109"/>
      <c r="AH266" s="109"/>
      <c r="AI266" s="109"/>
    </row>
    <row r="267">
      <c r="A267" s="112"/>
      <c r="B267" s="112"/>
      <c r="C267" s="112"/>
      <c r="D267" s="119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09"/>
      <c r="AB267" s="109"/>
      <c r="AC267" s="109"/>
      <c r="AD267" s="109"/>
      <c r="AE267" s="109"/>
      <c r="AF267" s="109"/>
      <c r="AG267" s="109"/>
      <c r="AH267" s="109"/>
      <c r="AI267" s="109"/>
    </row>
    <row r="268">
      <c r="A268" s="112"/>
      <c r="B268" s="112"/>
      <c r="C268" s="112"/>
      <c r="D268" s="119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09"/>
      <c r="AB268" s="109"/>
      <c r="AC268" s="109"/>
      <c r="AD268" s="109"/>
      <c r="AE268" s="109"/>
      <c r="AF268" s="109"/>
      <c r="AG268" s="109"/>
      <c r="AH268" s="109"/>
      <c r="AI268" s="109"/>
    </row>
    <row r="269">
      <c r="A269" s="112"/>
      <c r="B269" s="112"/>
      <c r="C269" s="112"/>
      <c r="D269" s="119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09"/>
      <c r="AB269" s="109"/>
      <c r="AC269" s="109"/>
      <c r="AD269" s="109"/>
      <c r="AE269" s="109"/>
      <c r="AF269" s="109"/>
      <c r="AG269" s="109"/>
      <c r="AH269" s="109"/>
      <c r="AI269" s="109"/>
    </row>
    <row r="270">
      <c r="A270" s="112"/>
      <c r="B270" s="112"/>
      <c r="C270" s="112"/>
      <c r="D270" s="119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09"/>
      <c r="AB270" s="109"/>
      <c r="AC270" s="109"/>
      <c r="AD270" s="109"/>
      <c r="AE270" s="109"/>
      <c r="AF270" s="109"/>
      <c r="AG270" s="109"/>
      <c r="AH270" s="109"/>
      <c r="AI270" s="109"/>
    </row>
    <row r="271">
      <c r="A271" s="112"/>
      <c r="B271" s="112"/>
      <c r="C271" s="112"/>
      <c r="D271" s="119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09"/>
      <c r="AB271" s="109"/>
      <c r="AC271" s="109"/>
      <c r="AD271" s="109"/>
      <c r="AE271" s="109"/>
      <c r="AF271" s="109"/>
      <c r="AG271" s="109"/>
      <c r="AH271" s="109"/>
      <c r="AI271" s="109"/>
    </row>
    <row r="272">
      <c r="A272" s="112"/>
      <c r="B272" s="112"/>
      <c r="C272" s="112"/>
      <c r="D272" s="119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09"/>
      <c r="AB272" s="109"/>
      <c r="AC272" s="109"/>
      <c r="AD272" s="109"/>
      <c r="AE272" s="109"/>
      <c r="AF272" s="109"/>
      <c r="AG272" s="109"/>
      <c r="AH272" s="109"/>
      <c r="AI272" s="109"/>
    </row>
    <row r="273">
      <c r="A273" s="112"/>
      <c r="B273" s="112"/>
      <c r="C273" s="112"/>
      <c r="D273" s="119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09"/>
      <c r="AB273" s="109"/>
      <c r="AC273" s="109"/>
      <c r="AD273" s="109"/>
      <c r="AE273" s="109"/>
      <c r="AF273" s="109"/>
      <c r="AG273" s="109"/>
      <c r="AH273" s="109"/>
      <c r="AI273" s="109"/>
    </row>
    <row r="274">
      <c r="A274" s="112"/>
      <c r="B274" s="112"/>
      <c r="C274" s="112"/>
      <c r="D274" s="119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09"/>
      <c r="AB274" s="109"/>
      <c r="AC274" s="109"/>
      <c r="AD274" s="109"/>
      <c r="AE274" s="109"/>
      <c r="AF274" s="109"/>
      <c r="AG274" s="109"/>
      <c r="AH274" s="109"/>
      <c r="AI274" s="109"/>
    </row>
    <row r="275">
      <c r="A275" s="112"/>
      <c r="B275" s="112"/>
      <c r="C275" s="112"/>
      <c r="D275" s="119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09"/>
      <c r="AB275" s="109"/>
      <c r="AC275" s="109"/>
      <c r="AD275" s="109"/>
      <c r="AE275" s="109"/>
      <c r="AF275" s="109"/>
      <c r="AG275" s="109"/>
      <c r="AH275" s="109"/>
      <c r="AI275" s="109"/>
    </row>
    <row r="276">
      <c r="A276" s="112"/>
      <c r="B276" s="112"/>
      <c r="C276" s="112"/>
      <c r="D276" s="119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09"/>
      <c r="AB276" s="109"/>
      <c r="AC276" s="109"/>
      <c r="AD276" s="109"/>
      <c r="AE276" s="109"/>
      <c r="AF276" s="109"/>
      <c r="AG276" s="109"/>
      <c r="AH276" s="109"/>
      <c r="AI276" s="109"/>
    </row>
    <row r="277">
      <c r="A277" s="112"/>
      <c r="B277" s="112"/>
      <c r="C277" s="112"/>
      <c r="D277" s="119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09"/>
      <c r="AB277" s="109"/>
      <c r="AC277" s="109"/>
      <c r="AD277" s="109"/>
      <c r="AE277" s="109"/>
      <c r="AF277" s="109"/>
      <c r="AG277" s="109"/>
      <c r="AH277" s="109"/>
      <c r="AI277" s="109"/>
    </row>
    <row r="278">
      <c r="A278" s="112"/>
      <c r="B278" s="112"/>
      <c r="C278" s="112"/>
      <c r="D278" s="119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09"/>
      <c r="AB278" s="109"/>
      <c r="AC278" s="109"/>
      <c r="AD278" s="109"/>
      <c r="AE278" s="109"/>
      <c r="AF278" s="109"/>
      <c r="AG278" s="109"/>
      <c r="AH278" s="109"/>
      <c r="AI278" s="109"/>
    </row>
    <row r="279">
      <c r="A279" s="112"/>
      <c r="B279" s="112"/>
      <c r="C279" s="112"/>
      <c r="D279" s="119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09"/>
      <c r="AB279" s="109"/>
      <c r="AC279" s="109"/>
      <c r="AD279" s="109"/>
      <c r="AE279" s="109"/>
      <c r="AF279" s="109"/>
      <c r="AG279" s="109"/>
      <c r="AH279" s="109"/>
      <c r="AI279" s="109"/>
    </row>
    <row r="280">
      <c r="A280" s="112"/>
      <c r="B280" s="112"/>
      <c r="C280" s="112"/>
      <c r="D280" s="119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09"/>
      <c r="AB280" s="109"/>
      <c r="AC280" s="109"/>
      <c r="AD280" s="109"/>
      <c r="AE280" s="109"/>
      <c r="AF280" s="109"/>
      <c r="AG280" s="109"/>
      <c r="AH280" s="109"/>
      <c r="AI280" s="109"/>
    </row>
    <row r="281">
      <c r="A281" s="112"/>
      <c r="B281" s="112"/>
      <c r="C281" s="112"/>
      <c r="D281" s="119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09"/>
      <c r="AB281" s="109"/>
      <c r="AC281" s="109"/>
      <c r="AD281" s="109"/>
      <c r="AE281" s="109"/>
      <c r="AF281" s="109"/>
      <c r="AG281" s="109"/>
      <c r="AH281" s="109"/>
      <c r="AI281" s="109"/>
    </row>
    <row r="282">
      <c r="A282" s="112"/>
      <c r="B282" s="112"/>
      <c r="C282" s="112"/>
      <c r="D282" s="119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09"/>
      <c r="AB282" s="109"/>
      <c r="AC282" s="109"/>
      <c r="AD282" s="109"/>
      <c r="AE282" s="109"/>
      <c r="AF282" s="109"/>
      <c r="AG282" s="109"/>
      <c r="AH282" s="109"/>
      <c r="AI282" s="109"/>
    </row>
    <row r="283">
      <c r="A283" s="112"/>
      <c r="B283" s="112"/>
      <c r="C283" s="112"/>
      <c r="D283" s="119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09"/>
      <c r="AB283" s="109"/>
      <c r="AC283" s="109"/>
      <c r="AD283" s="109"/>
      <c r="AE283" s="109"/>
      <c r="AF283" s="109"/>
      <c r="AG283" s="109"/>
      <c r="AH283" s="109"/>
      <c r="AI283" s="109"/>
    </row>
    <row r="284">
      <c r="A284" s="112"/>
      <c r="B284" s="112"/>
      <c r="C284" s="112"/>
      <c r="D284" s="119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09"/>
      <c r="AB284" s="109"/>
      <c r="AC284" s="109"/>
      <c r="AD284" s="109"/>
      <c r="AE284" s="109"/>
      <c r="AF284" s="109"/>
      <c r="AG284" s="109"/>
      <c r="AH284" s="109"/>
      <c r="AI284" s="109"/>
    </row>
    <row r="285">
      <c r="A285" s="112"/>
      <c r="B285" s="112"/>
      <c r="C285" s="112"/>
      <c r="D285" s="119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09"/>
      <c r="AB285" s="109"/>
      <c r="AC285" s="109"/>
      <c r="AD285" s="109"/>
      <c r="AE285" s="109"/>
      <c r="AF285" s="109"/>
      <c r="AG285" s="109"/>
      <c r="AH285" s="109"/>
      <c r="AI285" s="109"/>
    </row>
    <row r="286">
      <c r="A286" s="112"/>
      <c r="B286" s="112"/>
      <c r="C286" s="112"/>
      <c r="D286" s="119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09"/>
      <c r="AB286" s="109"/>
      <c r="AC286" s="109"/>
      <c r="AD286" s="109"/>
      <c r="AE286" s="109"/>
      <c r="AF286" s="109"/>
      <c r="AG286" s="109"/>
      <c r="AH286" s="109"/>
      <c r="AI286" s="109"/>
    </row>
    <row r="287">
      <c r="A287" s="112"/>
      <c r="B287" s="112"/>
      <c r="C287" s="112"/>
      <c r="D287" s="119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09"/>
      <c r="AB287" s="109"/>
      <c r="AC287" s="109"/>
      <c r="AD287" s="109"/>
      <c r="AE287" s="109"/>
      <c r="AF287" s="109"/>
      <c r="AG287" s="109"/>
      <c r="AH287" s="109"/>
      <c r="AI287" s="109"/>
    </row>
    <row r="288">
      <c r="A288" s="112"/>
      <c r="B288" s="112"/>
      <c r="C288" s="112"/>
      <c r="D288" s="119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09"/>
      <c r="AB288" s="109"/>
      <c r="AC288" s="109"/>
      <c r="AD288" s="109"/>
      <c r="AE288" s="109"/>
      <c r="AF288" s="109"/>
      <c r="AG288" s="109"/>
      <c r="AH288" s="109"/>
      <c r="AI288" s="109"/>
    </row>
    <row r="289">
      <c r="A289" s="112"/>
      <c r="B289" s="112"/>
      <c r="C289" s="112"/>
      <c r="D289" s="119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09"/>
      <c r="AB289" s="109"/>
      <c r="AC289" s="109"/>
      <c r="AD289" s="109"/>
      <c r="AE289" s="109"/>
      <c r="AF289" s="109"/>
      <c r="AG289" s="109"/>
      <c r="AH289" s="109"/>
      <c r="AI289" s="109"/>
    </row>
    <row r="290">
      <c r="A290" s="112"/>
      <c r="B290" s="112"/>
      <c r="C290" s="112"/>
      <c r="D290" s="119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09"/>
      <c r="AB290" s="109"/>
      <c r="AC290" s="109"/>
      <c r="AD290" s="109"/>
      <c r="AE290" s="109"/>
      <c r="AF290" s="109"/>
      <c r="AG290" s="109"/>
      <c r="AH290" s="109"/>
      <c r="AI290" s="109"/>
    </row>
    <row r="291">
      <c r="A291" s="112"/>
      <c r="B291" s="112"/>
      <c r="C291" s="112"/>
      <c r="D291" s="119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09"/>
      <c r="AB291" s="109"/>
      <c r="AC291" s="109"/>
      <c r="AD291" s="109"/>
      <c r="AE291" s="109"/>
      <c r="AF291" s="109"/>
      <c r="AG291" s="109"/>
      <c r="AH291" s="109"/>
      <c r="AI291" s="109"/>
    </row>
    <row r="292">
      <c r="A292" s="112"/>
      <c r="B292" s="112"/>
      <c r="C292" s="112"/>
      <c r="D292" s="119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09"/>
      <c r="AB292" s="109"/>
      <c r="AC292" s="109"/>
      <c r="AD292" s="109"/>
      <c r="AE292" s="109"/>
      <c r="AF292" s="109"/>
      <c r="AG292" s="109"/>
      <c r="AH292" s="109"/>
      <c r="AI292" s="109"/>
    </row>
    <row r="293">
      <c r="A293" s="112"/>
      <c r="B293" s="112"/>
      <c r="C293" s="112"/>
      <c r="D293" s="119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09"/>
      <c r="AB293" s="109"/>
      <c r="AC293" s="109"/>
      <c r="AD293" s="109"/>
      <c r="AE293" s="109"/>
      <c r="AF293" s="109"/>
      <c r="AG293" s="109"/>
      <c r="AH293" s="109"/>
      <c r="AI293" s="109"/>
    </row>
    <row r="294">
      <c r="A294" s="112"/>
      <c r="B294" s="112"/>
      <c r="C294" s="112"/>
      <c r="D294" s="119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09"/>
      <c r="AB294" s="109"/>
      <c r="AC294" s="109"/>
      <c r="AD294" s="109"/>
      <c r="AE294" s="109"/>
      <c r="AF294" s="109"/>
      <c r="AG294" s="109"/>
      <c r="AH294" s="109"/>
      <c r="AI294" s="109"/>
    </row>
    <row r="295">
      <c r="A295" s="112"/>
      <c r="B295" s="112"/>
      <c r="C295" s="112"/>
      <c r="D295" s="119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09"/>
      <c r="AB295" s="109"/>
      <c r="AC295" s="109"/>
      <c r="AD295" s="109"/>
      <c r="AE295" s="109"/>
      <c r="AF295" s="109"/>
      <c r="AG295" s="109"/>
      <c r="AH295" s="109"/>
      <c r="AI295" s="109"/>
    </row>
    <row r="296">
      <c r="A296" s="112"/>
      <c r="B296" s="112"/>
      <c r="C296" s="112"/>
      <c r="D296" s="119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09"/>
      <c r="AB296" s="109"/>
      <c r="AC296" s="109"/>
      <c r="AD296" s="109"/>
      <c r="AE296" s="109"/>
      <c r="AF296" s="109"/>
      <c r="AG296" s="109"/>
      <c r="AH296" s="109"/>
      <c r="AI296" s="109"/>
    </row>
    <row r="297">
      <c r="A297" s="112"/>
      <c r="B297" s="112"/>
      <c r="C297" s="112"/>
      <c r="D297" s="119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09"/>
      <c r="AB297" s="109"/>
      <c r="AC297" s="109"/>
      <c r="AD297" s="109"/>
      <c r="AE297" s="109"/>
      <c r="AF297" s="109"/>
      <c r="AG297" s="109"/>
      <c r="AH297" s="109"/>
      <c r="AI297" s="109"/>
    </row>
    <row r="298">
      <c r="A298" s="112"/>
      <c r="B298" s="112"/>
      <c r="C298" s="112"/>
      <c r="D298" s="119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09"/>
      <c r="AB298" s="109"/>
      <c r="AC298" s="109"/>
      <c r="AD298" s="109"/>
      <c r="AE298" s="109"/>
      <c r="AF298" s="109"/>
      <c r="AG298" s="109"/>
      <c r="AH298" s="109"/>
      <c r="AI298" s="109"/>
    </row>
    <row r="299">
      <c r="A299" s="112"/>
      <c r="B299" s="112"/>
      <c r="C299" s="112"/>
      <c r="D299" s="119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09"/>
      <c r="AB299" s="109"/>
      <c r="AC299" s="109"/>
      <c r="AD299" s="109"/>
      <c r="AE299" s="109"/>
      <c r="AF299" s="109"/>
      <c r="AG299" s="109"/>
      <c r="AH299" s="109"/>
      <c r="AI299" s="109"/>
    </row>
    <row r="300">
      <c r="A300" s="112"/>
      <c r="B300" s="112"/>
      <c r="C300" s="112"/>
      <c r="D300" s="119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09"/>
      <c r="AB300" s="109"/>
      <c r="AC300" s="109"/>
      <c r="AD300" s="109"/>
      <c r="AE300" s="109"/>
      <c r="AF300" s="109"/>
      <c r="AG300" s="109"/>
      <c r="AH300" s="109"/>
      <c r="AI300" s="109"/>
    </row>
    <row r="301">
      <c r="A301" s="112"/>
      <c r="B301" s="112"/>
      <c r="C301" s="112"/>
      <c r="D301" s="119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09"/>
      <c r="AB301" s="109"/>
      <c r="AC301" s="109"/>
      <c r="AD301" s="109"/>
      <c r="AE301" s="109"/>
      <c r="AF301" s="109"/>
      <c r="AG301" s="109"/>
      <c r="AH301" s="109"/>
      <c r="AI301" s="109"/>
    </row>
    <row r="302">
      <c r="A302" s="112"/>
      <c r="B302" s="112"/>
      <c r="C302" s="112"/>
      <c r="D302" s="119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09"/>
      <c r="AB302" s="109"/>
      <c r="AC302" s="109"/>
      <c r="AD302" s="109"/>
      <c r="AE302" s="109"/>
      <c r="AF302" s="109"/>
      <c r="AG302" s="109"/>
      <c r="AH302" s="109"/>
      <c r="AI302" s="109"/>
    </row>
    <row r="303">
      <c r="A303" s="112"/>
      <c r="B303" s="112"/>
      <c r="C303" s="112"/>
      <c r="D303" s="119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09"/>
      <c r="AB303" s="109"/>
      <c r="AC303" s="109"/>
      <c r="AD303" s="109"/>
      <c r="AE303" s="109"/>
      <c r="AF303" s="109"/>
      <c r="AG303" s="109"/>
      <c r="AH303" s="109"/>
      <c r="AI303" s="109"/>
    </row>
    <row r="304">
      <c r="A304" s="112"/>
      <c r="B304" s="112"/>
      <c r="C304" s="112"/>
      <c r="D304" s="119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09"/>
      <c r="AB304" s="109"/>
      <c r="AC304" s="109"/>
      <c r="AD304" s="109"/>
      <c r="AE304" s="109"/>
      <c r="AF304" s="109"/>
      <c r="AG304" s="109"/>
      <c r="AH304" s="109"/>
      <c r="AI304" s="109"/>
    </row>
    <row r="305">
      <c r="A305" s="112"/>
      <c r="B305" s="112"/>
      <c r="C305" s="112"/>
      <c r="D305" s="119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09"/>
      <c r="AB305" s="109"/>
      <c r="AC305" s="109"/>
      <c r="AD305" s="109"/>
      <c r="AE305" s="109"/>
      <c r="AF305" s="109"/>
      <c r="AG305" s="109"/>
      <c r="AH305" s="109"/>
      <c r="AI305" s="109"/>
    </row>
    <row r="306">
      <c r="A306" s="112"/>
      <c r="B306" s="112"/>
      <c r="C306" s="112"/>
      <c r="D306" s="119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09"/>
      <c r="AB306" s="109"/>
      <c r="AC306" s="109"/>
      <c r="AD306" s="109"/>
      <c r="AE306" s="109"/>
      <c r="AF306" s="109"/>
      <c r="AG306" s="109"/>
      <c r="AH306" s="109"/>
      <c r="AI306" s="109"/>
    </row>
    <row r="307">
      <c r="A307" s="112"/>
      <c r="B307" s="112"/>
      <c r="C307" s="112"/>
      <c r="D307" s="119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09"/>
      <c r="AB307" s="109"/>
      <c r="AC307" s="109"/>
      <c r="AD307" s="109"/>
      <c r="AE307" s="109"/>
      <c r="AF307" s="109"/>
      <c r="AG307" s="109"/>
      <c r="AH307" s="109"/>
      <c r="AI307" s="109"/>
    </row>
    <row r="308">
      <c r="A308" s="112"/>
      <c r="B308" s="112"/>
      <c r="C308" s="112"/>
      <c r="D308" s="119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09"/>
      <c r="AB308" s="109"/>
      <c r="AC308" s="109"/>
      <c r="AD308" s="109"/>
      <c r="AE308" s="109"/>
      <c r="AF308" s="109"/>
      <c r="AG308" s="109"/>
      <c r="AH308" s="109"/>
      <c r="AI308" s="109"/>
    </row>
    <row r="309">
      <c r="A309" s="112"/>
      <c r="B309" s="112"/>
      <c r="C309" s="112"/>
      <c r="D309" s="119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09"/>
      <c r="AB309" s="109"/>
      <c r="AC309" s="109"/>
      <c r="AD309" s="109"/>
      <c r="AE309" s="109"/>
      <c r="AF309" s="109"/>
      <c r="AG309" s="109"/>
      <c r="AH309" s="109"/>
      <c r="AI309" s="109"/>
    </row>
    <row r="310">
      <c r="A310" s="112"/>
      <c r="B310" s="112"/>
      <c r="C310" s="112"/>
      <c r="D310" s="119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09"/>
      <c r="AB310" s="109"/>
      <c r="AC310" s="109"/>
      <c r="AD310" s="109"/>
      <c r="AE310" s="109"/>
      <c r="AF310" s="109"/>
      <c r="AG310" s="109"/>
      <c r="AH310" s="109"/>
      <c r="AI310" s="109"/>
    </row>
    <row r="311">
      <c r="A311" s="112"/>
      <c r="B311" s="112"/>
      <c r="C311" s="112"/>
      <c r="D311" s="119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09"/>
      <c r="AB311" s="109"/>
      <c r="AC311" s="109"/>
      <c r="AD311" s="109"/>
      <c r="AE311" s="109"/>
      <c r="AF311" s="109"/>
      <c r="AG311" s="109"/>
      <c r="AH311" s="109"/>
      <c r="AI311" s="109"/>
    </row>
    <row r="312">
      <c r="A312" s="112"/>
      <c r="B312" s="112"/>
      <c r="C312" s="112"/>
      <c r="D312" s="119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09"/>
      <c r="AB312" s="109"/>
      <c r="AC312" s="109"/>
      <c r="AD312" s="109"/>
      <c r="AE312" s="109"/>
      <c r="AF312" s="109"/>
      <c r="AG312" s="109"/>
      <c r="AH312" s="109"/>
      <c r="AI312" s="109"/>
    </row>
    <row r="313">
      <c r="A313" s="112"/>
      <c r="B313" s="112"/>
      <c r="C313" s="112"/>
      <c r="D313" s="119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09"/>
      <c r="AB313" s="109"/>
      <c r="AC313" s="109"/>
      <c r="AD313" s="109"/>
      <c r="AE313" s="109"/>
      <c r="AF313" s="109"/>
      <c r="AG313" s="109"/>
      <c r="AH313" s="109"/>
      <c r="AI313" s="109"/>
    </row>
    <row r="314">
      <c r="A314" s="112"/>
      <c r="B314" s="112"/>
      <c r="C314" s="112"/>
      <c r="D314" s="119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09"/>
      <c r="AB314" s="109"/>
      <c r="AC314" s="109"/>
      <c r="AD314" s="109"/>
      <c r="AE314" s="109"/>
      <c r="AF314" s="109"/>
      <c r="AG314" s="109"/>
      <c r="AH314" s="109"/>
      <c r="AI314" s="109"/>
    </row>
    <row r="315">
      <c r="A315" s="112"/>
      <c r="B315" s="112"/>
      <c r="C315" s="112"/>
      <c r="D315" s="119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09"/>
      <c r="AB315" s="109"/>
      <c r="AC315" s="109"/>
      <c r="AD315" s="109"/>
      <c r="AE315" s="109"/>
      <c r="AF315" s="109"/>
      <c r="AG315" s="109"/>
      <c r="AH315" s="109"/>
      <c r="AI315" s="109"/>
    </row>
    <row r="316">
      <c r="A316" s="112"/>
      <c r="B316" s="112"/>
      <c r="C316" s="112"/>
      <c r="D316" s="119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09"/>
      <c r="AB316" s="109"/>
      <c r="AC316" s="109"/>
      <c r="AD316" s="109"/>
      <c r="AE316" s="109"/>
      <c r="AF316" s="109"/>
      <c r="AG316" s="109"/>
      <c r="AH316" s="109"/>
      <c r="AI316" s="109"/>
    </row>
    <row r="317">
      <c r="A317" s="112"/>
      <c r="B317" s="112"/>
      <c r="C317" s="112"/>
      <c r="D317" s="119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09"/>
      <c r="AB317" s="109"/>
      <c r="AC317" s="109"/>
      <c r="AD317" s="109"/>
      <c r="AE317" s="109"/>
      <c r="AF317" s="109"/>
      <c r="AG317" s="109"/>
      <c r="AH317" s="109"/>
      <c r="AI317" s="109"/>
    </row>
    <row r="318">
      <c r="A318" s="112"/>
      <c r="B318" s="112"/>
      <c r="C318" s="112"/>
      <c r="D318" s="119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09"/>
      <c r="AB318" s="109"/>
      <c r="AC318" s="109"/>
      <c r="AD318" s="109"/>
      <c r="AE318" s="109"/>
      <c r="AF318" s="109"/>
      <c r="AG318" s="109"/>
      <c r="AH318" s="109"/>
      <c r="AI318" s="109"/>
    </row>
    <row r="319">
      <c r="A319" s="112"/>
      <c r="B319" s="112"/>
      <c r="C319" s="112"/>
      <c r="D319" s="119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09"/>
      <c r="AB319" s="109"/>
      <c r="AC319" s="109"/>
      <c r="AD319" s="109"/>
      <c r="AE319" s="109"/>
      <c r="AF319" s="109"/>
      <c r="AG319" s="109"/>
      <c r="AH319" s="109"/>
      <c r="AI319" s="109"/>
    </row>
    <row r="320">
      <c r="A320" s="112"/>
      <c r="B320" s="112"/>
      <c r="C320" s="112"/>
      <c r="D320" s="119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09"/>
      <c r="AB320" s="109"/>
      <c r="AC320" s="109"/>
      <c r="AD320" s="109"/>
      <c r="AE320" s="109"/>
      <c r="AF320" s="109"/>
      <c r="AG320" s="109"/>
      <c r="AH320" s="109"/>
      <c r="AI320" s="109"/>
    </row>
    <row r="321">
      <c r="A321" s="112"/>
      <c r="B321" s="112"/>
      <c r="C321" s="112"/>
      <c r="D321" s="119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09"/>
      <c r="AB321" s="109"/>
      <c r="AC321" s="109"/>
      <c r="AD321" s="109"/>
      <c r="AE321" s="109"/>
      <c r="AF321" s="109"/>
      <c r="AG321" s="109"/>
      <c r="AH321" s="109"/>
      <c r="AI321" s="109"/>
    </row>
    <row r="322">
      <c r="A322" s="112"/>
      <c r="B322" s="112"/>
      <c r="C322" s="112"/>
      <c r="D322" s="119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09"/>
      <c r="AB322" s="109"/>
      <c r="AC322" s="109"/>
      <c r="AD322" s="109"/>
      <c r="AE322" s="109"/>
      <c r="AF322" s="109"/>
      <c r="AG322" s="109"/>
      <c r="AH322" s="109"/>
      <c r="AI322" s="109"/>
    </row>
    <row r="323">
      <c r="A323" s="112"/>
      <c r="B323" s="112"/>
      <c r="C323" s="112"/>
      <c r="D323" s="119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09"/>
      <c r="AB323" s="109"/>
      <c r="AC323" s="109"/>
      <c r="AD323" s="109"/>
      <c r="AE323" s="109"/>
      <c r="AF323" s="109"/>
      <c r="AG323" s="109"/>
      <c r="AH323" s="109"/>
      <c r="AI323" s="109"/>
    </row>
    <row r="324">
      <c r="A324" s="112"/>
      <c r="B324" s="112"/>
      <c r="C324" s="112"/>
      <c r="D324" s="119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09"/>
      <c r="AB324" s="109"/>
      <c r="AC324" s="109"/>
      <c r="AD324" s="109"/>
      <c r="AE324" s="109"/>
      <c r="AF324" s="109"/>
      <c r="AG324" s="109"/>
      <c r="AH324" s="109"/>
      <c r="AI324" s="109"/>
    </row>
    <row r="325">
      <c r="A325" s="112"/>
      <c r="B325" s="112"/>
      <c r="C325" s="112"/>
      <c r="D325" s="119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09"/>
      <c r="AB325" s="109"/>
      <c r="AC325" s="109"/>
      <c r="AD325" s="109"/>
      <c r="AE325" s="109"/>
      <c r="AF325" s="109"/>
      <c r="AG325" s="109"/>
      <c r="AH325" s="109"/>
      <c r="AI325" s="109"/>
    </row>
    <row r="326">
      <c r="A326" s="112"/>
      <c r="B326" s="112"/>
      <c r="C326" s="112"/>
      <c r="D326" s="119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09"/>
      <c r="AB326" s="109"/>
      <c r="AC326" s="109"/>
      <c r="AD326" s="109"/>
      <c r="AE326" s="109"/>
      <c r="AF326" s="109"/>
      <c r="AG326" s="109"/>
      <c r="AH326" s="109"/>
      <c r="AI326" s="109"/>
    </row>
    <row r="327">
      <c r="A327" s="112"/>
      <c r="B327" s="112"/>
      <c r="C327" s="112"/>
      <c r="D327" s="119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09"/>
      <c r="AB327" s="109"/>
      <c r="AC327" s="109"/>
      <c r="AD327" s="109"/>
      <c r="AE327" s="109"/>
      <c r="AF327" s="109"/>
      <c r="AG327" s="109"/>
      <c r="AH327" s="109"/>
      <c r="AI327" s="109"/>
    </row>
    <row r="328">
      <c r="A328" s="112"/>
      <c r="B328" s="112"/>
      <c r="C328" s="112"/>
      <c r="D328" s="119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09"/>
      <c r="AB328" s="109"/>
      <c r="AC328" s="109"/>
      <c r="AD328" s="109"/>
      <c r="AE328" s="109"/>
      <c r="AF328" s="109"/>
      <c r="AG328" s="109"/>
      <c r="AH328" s="109"/>
      <c r="AI328" s="109"/>
    </row>
    <row r="329">
      <c r="A329" s="112"/>
      <c r="B329" s="112"/>
      <c r="C329" s="112"/>
      <c r="D329" s="119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09"/>
      <c r="AB329" s="109"/>
      <c r="AC329" s="109"/>
      <c r="AD329" s="109"/>
      <c r="AE329" s="109"/>
      <c r="AF329" s="109"/>
      <c r="AG329" s="109"/>
      <c r="AH329" s="109"/>
      <c r="AI329" s="109"/>
    </row>
    <row r="330">
      <c r="A330" s="112"/>
      <c r="B330" s="112"/>
      <c r="C330" s="112"/>
      <c r="D330" s="119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09"/>
      <c r="AB330" s="109"/>
      <c r="AC330" s="109"/>
      <c r="AD330" s="109"/>
      <c r="AE330" s="109"/>
      <c r="AF330" s="109"/>
      <c r="AG330" s="109"/>
      <c r="AH330" s="109"/>
      <c r="AI330" s="109"/>
    </row>
    <row r="331">
      <c r="A331" s="112"/>
      <c r="B331" s="112"/>
      <c r="C331" s="112"/>
      <c r="D331" s="119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09"/>
      <c r="AB331" s="109"/>
      <c r="AC331" s="109"/>
      <c r="AD331" s="109"/>
      <c r="AE331" s="109"/>
      <c r="AF331" s="109"/>
      <c r="AG331" s="109"/>
      <c r="AH331" s="109"/>
      <c r="AI331" s="109"/>
    </row>
    <row r="332">
      <c r="A332" s="112"/>
      <c r="B332" s="112"/>
      <c r="C332" s="112"/>
      <c r="D332" s="119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09"/>
      <c r="AB332" s="109"/>
      <c r="AC332" s="109"/>
      <c r="AD332" s="109"/>
      <c r="AE332" s="109"/>
      <c r="AF332" s="109"/>
      <c r="AG332" s="109"/>
      <c r="AH332" s="109"/>
      <c r="AI332" s="109"/>
    </row>
    <row r="333">
      <c r="A333" s="112"/>
      <c r="B333" s="112"/>
      <c r="C333" s="112"/>
      <c r="D333" s="119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09"/>
      <c r="AB333" s="109"/>
      <c r="AC333" s="109"/>
      <c r="AD333" s="109"/>
      <c r="AE333" s="109"/>
      <c r="AF333" s="109"/>
      <c r="AG333" s="109"/>
      <c r="AH333" s="109"/>
      <c r="AI333" s="109"/>
    </row>
    <row r="334">
      <c r="A334" s="112"/>
      <c r="B334" s="112"/>
      <c r="C334" s="112"/>
      <c r="D334" s="119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09"/>
      <c r="AB334" s="109"/>
      <c r="AC334" s="109"/>
      <c r="AD334" s="109"/>
      <c r="AE334" s="109"/>
      <c r="AF334" s="109"/>
      <c r="AG334" s="109"/>
      <c r="AH334" s="109"/>
      <c r="AI334" s="109"/>
    </row>
    <row r="335">
      <c r="A335" s="112"/>
      <c r="B335" s="112"/>
      <c r="C335" s="112"/>
      <c r="D335" s="119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09"/>
      <c r="AB335" s="109"/>
      <c r="AC335" s="109"/>
      <c r="AD335" s="109"/>
      <c r="AE335" s="109"/>
      <c r="AF335" s="109"/>
      <c r="AG335" s="109"/>
      <c r="AH335" s="109"/>
      <c r="AI335" s="109"/>
    </row>
    <row r="336">
      <c r="A336" s="112"/>
      <c r="B336" s="112"/>
      <c r="C336" s="112"/>
      <c r="D336" s="119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09"/>
      <c r="AB336" s="109"/>
      <c r="AC336" s="109"/>
      <c r="AD336" s="109"/>
      <c r="AE336" s="109"/>
      <c r="AF336" s="109"/>
      <c r="AG336" s="109"/>
      <c r="AH336" s="109"/>
      <c r="AI336" s="109"/>
    </row>
    <row r="337">
      <c r="A337" s="112"/>
      <c r="B337" s="112"/>
      <c r="C337" s="112"/>
      <c r="D337" s="119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09"/>
      <c r="AB337" s="109"/>
      <c r="AC337" s="109"/>
      <c r="AD337" s="109"/>
      <c r="AE337" s="109"/>
      <c r="AF337" s="109"/>
      <c r="AG337" s="109"/>
      <c r="AH337" s="109"/>
      <c r="AI337" s="109"/>
    </row>
    <row r="338">
      <c r="A338" s="112"/>
      <c r="B338" s="112"/>
      <c r="C338" s="112"/>
      <c r="D338" s="119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09"/>
      <c r="AB338" s="109"/>
      <c r="AC338" s="109"/>
      <c r="AD338" s="109"/>
      <c r="AE338" s="109"/>
      <c r="AF338" s="109"/>
      <c r="AG338" s="109"/>
      <c r="AH338" s="109"/>
      <c r="AI338" s="109"/>
    </row>
    <row r="339">
      <c r="A339" s="112"/>
      <c r="B339" s="112"/>
      <c r="C339" s="112"/>
      <c r="D339" s="119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09"/>
      <c r="AB339" s="109"/>
      <c r="AC339" s="109"/>
      <c r="AD339" s="109"/>
      <c r="AE339" s="109"/>
      <c r="AF339" s="109"/>
      <c r="AG339" s="109"/>
      <c r="AH339" s="109"/>
      <c r="AI339" s="109"/>
    </row>
    <row r="340">
      <c r="A340" s="112"/>
      <c r="B340" s="112"/>
      <c r="C340" s="112"/>
      <c r="D340" s="119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09"/>
      <c r="AB340" s="109"/>
      <c r="AC340" s="109"/>
      <c r="AD340" s="109"/>
      <c r="AE340" s="109"/>
      <c r="AF340" s="109"/>
      <c r="AG340" s="109"/>
      <c r="AH340" s="109"/>
      <c r="AI340" s="109"/>
    </row>
    <row r="341">
      <c r="A341" s="112"/>
      <c r="B341" s="112"/>
      <c r="C341" s="112"/>
      <c r="D341" s="119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09"/>
      <c r="AB341" s="109"/>
      <c r="AC341" s="109"/>
      <c r="AD341" s="109"/>
      <c r="AE341" s="109"/>
      <c r="AF341" s="109"/>
      <c r="AG341" s="109"/>
      <c r="AH341" s="109"/>
      <c r="AI341" s="109"/>
    </row>
    <row r="342">
      <c r="A342" s="112"/>
      <c r="B342" s="112"/>
      <c r="C342" s="112"/>
      <c r="D342" s="119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09"/>
      <c r="AB342" s="109"/>
      <c r="AC342" s="109"/>
      <c r="AD342" s="109"/>
      <c r="AE342" s="109"/>
      <c r="AF342" s="109"/>
      <c r="AG342" s="109"/>
      <c r="AH342" s="109"/>
      <c r="AI342" s="109"/>
    </row>
    <row r="343">
      <c r="A343" s="112"/>
      <c r="B343" s="112"/>
      <c r="C343" s="112"/>
      <c r="D343" s="119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09"/>
      <c r="AB343" s="109"/>
      <c r="AC343" s="109"/>
      <c r="AD343" s="109"/>
      <c r="AE343" s="109"/>
      <c r="AF343" s="109"/>
      <c r="AG343" s="109"/>
      <c r="AH343" s="109"/>
      <c r="AI343" s="109"/>
    </row>
    <row r="344">
      <c r="A344" s="112"/>
      <c r="B344" s="112"/>
      <c r="C344" s="112"/>
      <c r="D344" s="119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09"/>
      <c r="AB344" s="109"/>
      <c r="AC344" s="109"/>
      <c r="AD344" s="109"/>
      <c r="AE344" s="109"/>
      <c r="AF344" s="109"/>
      <c r="AG344" s="109"/>
      <c r="AH344" s="109"/>
      <c r="AI344" s="109"/>
    </row>
    <row r="345">
      <c r="A345" s="112"/>
      <c r="B345" s="112"/>
      <c r="C345" s="112"/>
      <c r="D345" s="119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09"/>
      <c r="AB345" s="109"/>
      <c r="AC345" s="109"/>
      <c r="AD345" s="109"/>
      <c r="AE345" s="109"/>
      <c r="AF345" s="109"/>
      <c r="AG345" s="109"/>
      <c r="AH345" s="109"/>
      <c r="AI345" s="109"/>
    </row>
    <row r="346">
      <c r="A346" s="112"/>
      <c r="B346" s="112"/>
      <c r="C346" s="112"/>
      <c r="D346" s="119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09"/>
      <c r="AB346" s="109"/>
      <c r="AC346" s="109"/>
      <c r="AD346" s="109"/>
      <c r="AE346" s="109"/>
      <c r="AF346" s="109"/>
      <c r="AG346" s="109"/>
      <c r="AH346" s="109"/>
      <c r="AI346" s="109"/>
    </row>
    <row r="347">
      <c r="A347" s="112"/>
      <c r="B347" s="112"/>
      <c r="C347" s="112"/>
      <c r="D347" s="119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09"/>
      <c r="AB347" s="109"/>
      <c r="AC347" s="109"/>
      <c r="AD347" s="109"/>
      <c r="AE347" s="109"/>
      <c r="AF347" s="109"/>
      <c r="AG347" s="109"/>
      <c r="AH347" s="109"/>
      <c r="AI347" s="109"/>
    </row>
    <row r="348">
      <c r="A348" s="112"/>
      <c r="B348" s="112"/>
      <c r="C348" s="112"/>
      <c r="D348" s="119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09"/>
      <c r="AB348" s="109"/>
      <c r="AC348" s="109"/>
      <c r="AD348" s="109"/>
      <c r="AE348" s="109"/>
      <c r="AF348" s="109"/>
      <c r="AG348" s="109"/>
      <c r="AH348" s="109"/>
      <c r="AI348" s="109"/>
    </row>
    <row r="349">
      <c r="A349" s="112"/>
      <c r="B349" s="112"/>
      <c r="C349" s="112"/>
      <c r="D349" s="119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09"/>
      <c r="AB349" s="109"/>
      <c r="AC349" s="109"/>
      <c r="AD349" s="109"/>
      <c r="AE349" s="109"/>
      <c r="AF349" s="109"/>
      <c r="AG349" s="109"/>
      <c r="AH349" s="109"/>
      <c r="AI349" s="109"/>
    </row>
    <row r="350">
      <c r="A350" s="112"/>
      <c r="B350" s="112"/>
      <c r="C350" s="112"/>
      <c r="D350" s="119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09"/>
      <c r="AB350" s="109"/>
      <c r="AC350" s="109"/>
      <c r="AD350" s="109"/>
      <c r="AE350" s="109"/>
      <c r="AF350" s="109"/>
      <c r="AG350" s="109"/>
      <c r="AH350" s="109"/>
      <c r="AI350" s="109"/>
    </row>
    <row r="351">
      <c r="A351" s="112"/>
      <c r="B351" s="112"/>
      <c r="C351" s="112"/>
      <c r="D351" s="119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09"/>
      <c r="AB351" s="109"/>
      <c r="AC351" s="109"/>
      <c r="AD351" s="109"/>
      <c r="AE351" s="109"/>
      <c r="AF351" s="109"/>
      <c r="AG351" s="109"/>
      <c r="AH351" s="109"/>
      <c r="AI351" s="109"/>
    </row>
    <row r="352">
      <c r="A352" s="112"/>
      <c r="B352" s="112"/>
      <c r="C352" s="112"/>
      <c r="D352" s="119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09"/>
      <c r="AB352" s="109"/>
      <c r="AC352" s="109"/>
      <c r="AD352" s="109"/>
      <c r="AE352" s="109"/>
      <c r="AF352" s="109"/>
      <c r="AG352" s="109"/>
      <c r="AH352" s="109"/>
      <c r="AI352" s="109"/>
    </row>
    <row r="353">
      <c r="A353" s="112"/>
      <c r="B353" s="112"/>
      <c r="C353" s="112"/>
      <c r="D353" s="119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09"/>
      <c r="AB353" s="109"/>
      <c r="AC353" s="109"/>
      <c r="AD353" s="109"/>
      <c r="AE353" s="109"/>
      <c r="AF353" s="109"/>
      <c r="AG353" s="109"/>
      <c r="AH353" s="109"/>
      <c r="AI353" s="109"/>
    </row>
    <row r="354">
      <c r="A354" s="112"/>
      <c r="B354" s="112"/>
      <c r="C354" s="112"/>
      <c r="D354" s="119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09"/>
      <c r="AB354" s="109"/>
      <c r="AC354" s="109"/>
      <c r="AD354" s="109"/>
      <c r="AE354" s="109"/>
      <c r="AF354" s="109"/>
      <c r="AG354" s="109"/>
      <c r="AH354" s="109"/>
      <c r="AI354" s="109"/>
    </row>
    <row r="355">
      <c r="A355" s="112"/>
      <c r="B355" s="112"/>
      <c r="C355" s="112"/>
      <c r="D355" s="119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09"/>
      <c r="AB355" s="109"/>
      <c r="AC355" s="109"/>
      <c r="AD355" s="109"/>
      <c r="AE355" s="109"/>
      <c r="AF355" s="109"/>
      <c r="AG355" s="109"/>
      <c r="AH355" s="109"/>
      <c r="AI355" s="109"/>
    </row>
    <row r="356">
      <c r="A356" s="112"/>
      <c r="B356" s="112"/>
      <c r="C356" s="112"/>
      <c r="D356" s="119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09"/>
      <c r="AB356" s="109"/>
      <c r="AC356" s="109"/>
      <c r="AD356" s="109"/>
      <c r="AE356" s="109"/>
      <c r="AF356" s="109"/>
      <c r="AG356" s="109"/>
      <c r="AH356" s="109"/>
      <c r="AI356" s="109"/>
    </row>
    <row r="357">
      <c r="A357" s="112"/>
      <c r="B357" s="112"/>
      <c r="C357" s="112"/>
      <c r="D357" s="119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09"/>
      <c r="AB357" s="109"/>
      <c r="AC357" s="109"/>
      <c r="AD357" s="109"/>
      <c r="AE357" s="109"/>
      <c r="AF357" s="109"/>
      <c r="AG357" s="109"/>
      <c r="AH357" s="109"/>
      <c r="AI357" s="109"/>
    </row>
    <row r="358">
      <c r="A358" s="112"/>
      <c r="B358" s="112"/>
      <c r="C358" s="112"/>
      <c r="D358" s="119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09"/>
      <c r="AB358" s="109"/>
      <c r="AC358" s="109"/>
      <c r="AD358" s="109"/>
      <c r="AE358" s="109"/>
      <c r="AF358" s="109"/>
      <c r="AG358" s="109"/>
      <c r="AH358" s="109"/>
      <c r="AI358" s="109"/>
    </row>
    <row r="359">
      <c r="A359" s="112"/>
      <c r="B359" s="112"/>
      <c r="C359" s="112"/>
      <c r="D359" s="119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09"/>
      <c r="AB359" s="109"/>
      <c r="AC359" s="109"/>
      <c r="AD359" s="109"/>
      <c r="AE359" s="109"/>
      <c r="AF359" s="109"/>
      <c r="AG359" s="109"/>
      <c r="AH359" s="109"/>
      <c r="AI359" s="109"/>
    </row>
    <row r="360">
      <c r="A360" s="112"/>
      <c r="B360" s="112"/>
      <c r="C360" s="112"/>
      <c r="D360" s="119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09"/>
      <c r="AB360" s="109"/>
      <c r="AC360" s="109"/>
      <c r="AD360" s="109"/>
      <c r="AE360" s="109"/>
      <c r="AF360" s="109"/>
      <c r="AG360" s="109"/>
      <c r="AH360" s="109"/>
      <c r="AI360" s="109"/>
    </row>
    <row r="361">
      <c r="A361" s="112"/>
      <c r="B361" s="112"/>
      <c r="C361" s="112"/>
      <c r="D361" s="119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09"/>
      <c r="AB361" s="109"/>
      <c r="AC361" s="109"/>
      <c r="AD361" s="109"/>
      <c r="AE361" s="109"/>
      <c r="AF361" s="109"/>
      <c r="AG361" s="109"/>
      <c r="AH361" s="109"/>
      <c r="AI361" s="109"/>
    </row>
    <row r="362">
      <c r="A362" s="112"/>
      <c r="B362" s="112"/>
      <c r="C362" s="112"/>
      <c r="D362" s="119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09"/>
      <c r="AB362" s="109"/>
      <c r="AC362" s="109"/>
      <c r="AD362" s="109"/>
      <c r="AE362" s="109"/>
      <c r="AF362" s="109"/>
      <c r="AG362" s="109"/>
      <c r="AH362" s="109"/>
      <c r="AI362" s="109"/>
    </row>
    <row r="363">
      <c r="A363" s="112"/>
      <c r="B363" s="112"/>
      <c r="C363" s="112"/>
      <c r="D363" s="119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09"/>
      <c r="AB363" s="109"/>
      <c r="AC363" s="109"/>
      <c r="AD363" s="109"/>
      <c r="AE363" s="109"/>
      <c r="AF363" s="109"/>
      <c r="AG363" s="109"/>
      <c r="AH363" s="109"/>
      <c r="AI363" s="109"/>
    </row>
    <row r="364">
      <c r="A364" s="112"/>
      <c r="B364" s="112"/>
      <c r="C364" s="112"/>
      <c r="D364" s="119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09"/>
      <c r="AB364" s="109"/>
      <c r="AC364" s="109"/>
      <c r="AD364" s="109"/>
      <c r="AE364" s="109"/>
      <c r="AF364" s="109"/>
      <c r="AG364" s="109"/>
      <c r="AH364" s="109"/>
      <c r="AI364" s="109"/>
    </row>
    <row r="365">
      <c r="A365" s="112"/>
      <c r="B365" s="112"/>
      <c r="C365" s="112"/>
      <c r="D365" s="119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09"/>
      <c r="AB365" s="109"/>
      <c r="AC365" s="109"/>
      <c r="AD365" s="109"/>
      <c r="AE365" s="109"/>
      <c r="AF365" s="109"/>
      <c r="AG365" s="109"/>
      <c r="AH365" s="109"/>
      <c r="AI365" s="109"/>
    </row>
    <row r="366">
      <c r="A366" s="112"/>
      <c r="B366" s="112"/>
      <c r="C366" s="112"/>
      <c r="D366" s="119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09"/>
      <c r="AB366" s="109"/>
      <c r="AC366" s="109"/>
      <c r="AD366" s="109"/>
      <c r="AE366" s="109"/>
      <c r="AF366" s="109"/>
      <c r="AG366" s="109"/>
      <c r="AH366" s="109"/>
      <c r="AI366" s="109"/>
    </row>
    <row r="367">
      <c r="A367" s="112"/>
      <c r="B367" s="112"/>
      <c r="C367" s="112"/>
      <c r="D367" s="119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09"/>
      <c r="AB367" s="109"/>
      <c r="AC367" s="109"/>
      <c r="AD367" s="109"/>
      <c r="AE367" s="109"/>
      <c r="AF367" s="109"/>
      <c r="AG367" s="109"/>
      <c r="AH367" s="109"/>
      <c r="AI367" s="109"/>
    </row>
    <row r="368">
      <c r="A368" s="112"/>
      <c r="B368" s="112"/>
      <c r="C368" s="112"/>
      <c r="D368" s="119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09"/>
      <c r="AB368" s="109"/>
      <c r="AC368" s="109"/>
      <c r="AD368" s="109"/>
      <c r="AE368" s="109"/>
      <c r="AF368" s="109"/>
      <c r="AG368" s="109"/>
      <c r="AH368" s="109"/>
      <c r="AI368" s="109"/>
    </row>
    <row r="369">
      <c r="A369" s="112"/>
      <c r="B369" s="112"/>
      <c r="C369" s="112"/>
      <c r="D369" s="119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09"/>
      <c r="AB369" s="109"/>
      <c r="AC369" s="109"/>
      <c r="AD369" s="109"/>
      <c r="AE369" s="109"/>
      <c r="AF369" s="109"/>
      <c r="AG369" s="109"/>
      <c r="AH369" s="109"/>
      <c r="AI369" s="109"/>
    </row>
    <row r="370">
      <c r="A370" s="112"/>
      <c r="B370" s="112"/>
      <c r="C370" s="112"/>
      <c r="D370" s="119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09"/>
      <c r="AB370" s="109"/>
      <c r="AC370" s="109"/>
      <c r="AD370" s="109"/>
      <c r="AE370" s="109"/>
      <c r="AF370" s="109"/>
      <c r="AG370" s="109"/>
      <c r="AH370" s="109"/>
      <c r="AI370" s="109"/>
    </row>
    <row r="371">
      <c r="A371" s="112"/>
      <c r="B371" s="112"/>
      <c r="C371" s="112"/>
      <c r="D371" s="119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09"/>
      <c r="AB371" s="109"/>
      <c r="AC371" s="109"/>
      <c r="AD371" s="109"/>
      <c r="AE371" s="109"/>
      <c r="AF371" s="109"/>
      <c r="AG371" s="109"/>
      <c r="AH371" s="109"/>
      <c r="AI371" s="109"/>
    </row>
    <row r="372">
      <c r="A372" s="112"/>
      <c r="B372" s="112"/>
      <c r="C372" s="112"/>
      <c r="D372" s="119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09"/>
      <c r="AB372" s="109"/>
      <c r="AC372" s="109"/>
      <c r="AD372" s="109"/>
      <c r="AE372" s="109"/>
      <c r="AF372" s="109"/>
      <c r="AG372" s="109"/>
      <c r="AH372" s="109"/>
      <c r="AI372" s="109"/>
    </row>
    <row r="373">
      <c r="A373" s="112"/>
      <c r="B373" s="112"/>
      <c r="C373" s="112"/>
      <c r="D373" s="119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09"/>
      <c r="AB373" s="109"/>
      <c r="AC373" s="109"/>
      <c r="AD373" s="109"/>
      <c r="AE373" s="109"/>
      <c r="AF373" s="109"/>
      <c r="AG373" s="109"/>
      <c r="AH373" s="109"/>
      <c r="AI373" s="109"/>
    </row>
    <row r="374">
      <c r="A374" s="112"/>
      <c r="B374" s="112"/>
      <c r="C374" s="112"/>
      <c r="D374" s="119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09"/>
      <c r="AB374" s="109"/>
      <c r="AC374" s="109"/>
      <c r="AD374" s="109"/>
      <c r="AE374" s="109"/>
      <c r="AF374" s="109"/>
      <c r="AG374" s="109"/>
      <c r="AH374" s="109"/>
      <c r="AI374" s="109"/>
    </row>
    <row r="375">
      <c r="A375" s="112"/>
      <c r="B375" s="112"/>
      <c r="C375" s="112"/>
      <c r="D375" s="119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09"/>
      <c r="AB375" s="109"/>
      <c r="AC375" s="109"/>
      <c r="AD375" s="109"/>
      <c r="AE375" s="109"/>
      <c r="AF375" s="109"/>
      <c r="AG375" s="109"/>
      <c r="AH375" s="109"/>
      <c r="AI375" s="109"/>
    </row>
    <row r="376">
      <c r="A376" s="112"/>
      <c r="B376" s="112"/>
      <c r="C376" s="112"/>
      <c r="D376" s="119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09"/>
      <c r="AB376" s="109"/>
      <c r="AC376" s="109"/>
      <c r="AD376" s="109"/>
      <c r="AE376" s="109"/>
      <c r="AF376" s="109"/>
      <c r="AG376" s="109"/>
      <c r="AH376" s="109"/>
      <c r="AI376" s="109"/>
    </row>
    <row r="377">
      <c r="A377" s="112"/>
      <c r="B377" s="112"/>
      <c r="C377" s="112"/>
      <c r="D377" s="119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09"/>
      <c r="AB377" s="109"/>
      <c r="AC377" s="109"/>
      <c r="AD377" s="109"/>
      <c r="AE377" s="109"/>
      <c r="AF377" s="109"/>
      <c r="AG377" s="109"/>
      <c r="AH377" s="109"/>
      <c r="AI377" s="109"/>
    </row>
    <row r="378">
      <c r="A378" s="112"/>
      <c r="B378" s="112"/>
      <c r="C378" s="112"/>
      <c r="D378" s="119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09"/>
      <c r="AB378" s="109"/>
      <c r="AC378" s="109"/>
      <c r="AD378" s="109"/>
      <c r="AE378" s="109"/>
      <c r="AF378" s="109"/>
      <c r="AG378" s="109"/>
      <c r="AH378" s="109"/>
      <c r="AI378" s="109"/>
    </row>
    <row r="379">
      <c r="A379" s="112"/>
      <c r="B379" s="112"/>
      <c r="C379" s="112"/>
      <c r="D379" s="119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09"/>
      <c r="AB379" s="109"/>
      <c r="AC379" s="109"/>
      <c r="AD379" s="109"/>
      <c r="AE379" s="109"/>
      <c r="AF379" s="109"/>
      <c r="AG379" s="109"/>
      <c r="AH379" s="109"/>
      <c r="AI379" s="109"/>
    </row>
    <row r="380">
      <c r="A380" s="112"/>
      <c r="B380" s="112"/>
      <c r="C380" s="112"/>
      <c r="D380" s="119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09"/>
      <c r="AB380" s="109"/>
      <c r="AC380" s="109"/>
      <c r="AD380" s="109"/>
      <c r="AE380" s="109"/>
      <c r="AF380" s="109"/>
      <c r="AG380" s="109"/>
      <c r="AH380" s="109"/>
      <c r="AI380" s="109"/>
    </row>
    <row r="381">
      <c r="A381" s="112"/>
      <c r="B381" s="112"/>
      <c r="C381" s="112"/>
      <c r="D381" s="119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09"/>
      <c r="AB381" s="109"/>
      <c r="AC381" s="109"/>
      <c r="AD381" s="109"/>
      <c r="AE381" s="109"/>
      <c r="AF381" s="109"/>
      <c r="AG381" s="109"/>
      <c r="AH381" s="109"/>
      <c r="AI381" s="109"/>
    </row>
    <row r="382">
      <c r="A382" s="112"/>
      <c r="B382" s="112"/>
      <c r="C382" s="112"/>
      <c r="D382" s="119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09"/>
      <c r="AB382" s="109"/>
      <c r="AC382" s="109"/>
      <c r="AD382" s="109"/>
      <c r="AE382" s="109"/>
      <c r="AF382" s="109"/>
      <c r="AG382" s="109"/>
      <c r="AH382" s="109"/>
      <c r="AI382" s="109"/>
    </row>
    <row r="383">
      <c r="A383" s="112"/>
      <c r="B383" s="112"/>
      <c r="C383" s="112"/>
      <c r="D383" s="119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09"/>
      <c r="AB383" s="109"/>
      <c r="AC383" s="109"/>
      <c r="AD383" s="109"/>
      <c r="AE383" s="109"/>
      <c r="AF383" s="109"/>
      <c r="AG383" s="109"/>
      <c r="AH383" s="109"/>
      <c r="AI383" s="109"/>
    </row>
    <row r="384">
      <c r="A384" s="112"/>
      <c r="B384" s="112"/>
      <c r="C384" s="112"/>
      <c r="D384" s="119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09"/>
      <c r="AB384" s="109"/>
      <c r="AC384" s="109"/>
      <c r="AD384" s="109"/>
      <c r="AE384" s="109"/>
      <c r="AF384" s="109"/>
      <c r="AG384" s="109"/>
      <c r="AH384" s="109"/>
      <c r="AI384" s="109"/>
    </row>
    <row r="385">
      <c r="A385" s="112"/>
      <c r="B385" s="112"/>
      <c r="C385" s="112"/>
      <c r="D385" s="119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09"/>
      <c r="AB385" s="109"/>
      <c r="AC385" s="109"/>
      <c r="AD385" s="109"/>
      <c r="AE385" s="109"/>
      <c r="AF385" s="109"/>
      <c r="AG385" s="109"/>
      <c r="AH385" s="109"/>
      <c r="AI385" s="109"/>
    </row>
    <row r="386">
      <c r="A386" s="112"/>
      <c r="B386" s="112"/>
      <c r="C386" s="112"/>
      <c r="D386" s="119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09"/>
      <c r="AB386" s="109"/>
      <c r="AC386" s="109"/>
      <c r="AD386" s="109"/>
      <c r="AE386" s="109"/>
      <c r="AF386" s="109"/>
      <c r="AG386" s="109"/>
      <c r="AH386" s="109"/>
      <c r="AI386" s="109"/>
    </row>
    <row r="387">
      <c r="A387" s="112"/>
      <c r="B387" s="112"/>
      <c r="C387" s="112"/>
      <c r="D387" s="119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09"/>
      <c r="AB387" s="109"/>
      <c r="AC387" s="109"/>
      <c r="AD387" s="109"/>
      <c r="AE387" s="109"/>
      <c r="AF387" s="109"/>
      <c r="AG387" s="109"/>
      <c r="AH387" s="109"/>
      <c r="AI387" s="109"/>
    </row>
    <row r="388">
      <c r="A388" s="112"/>
      <c r="B388" s="112"/>
      <c r="C388" s="112"/>
      <c r="D388" s="119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09"/>
      <c r="AB388" s="109"/>
      <c r="AC388" s="109"/>
      <c r="AD388" s="109"/>
      <c r="AE388" s="109"/>
      <c r="AF388" s="109"/>
      <c r="AG388" s="109"/>
      <c r="AH388" s="109"/>
      <c r="AI388" s="109"/>
    </row>
    <row r="389">
      <c r="A389" s="112"/>
      <c r="B389" s="112"/>
      <c r="C389" s="112"/>
      <c r="D389" s="119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09"/>
      <c r="AB389" s="109"/>
      <c r="AC389" s="109"/>
      <c r="AD389" s="109"/>
      <c r="AE389" s="109"/>
      <c r="AF389" s="109"/>
      <c r="AG389" s="109"/>
      <c r="AH389" s="109"/>
      <c r="AI389" s="109"/>
    </row>
    <row r="390">
      <c r="A390" s="112"/>
      <c r="B390" s="112"/>
      <c r="C390" s="112"/>
      <c r="D390" s="119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09"/>
      <c r="AB390" s="109"/>
      <c r="AC390" s="109"/>
      <c r="AD390" s="109"/>
      <c r="AE390" s="109"/>
      <c r="AF390" s="109"/>
      <c r="AG390" s="109"/>
      <c r="AH390" s="109"/>
      <c r="AI390" s="109"/>
    </row>
    <row r="391">
      <c r="A391" s="112"/>
      <c r="B391" s="112"/>
      <c r="C391" s="112"/>
      <c r="D391" s="119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09"/>
      <c r="AB391" s="109"/>
      <c r="AC391" s="109"/>
      <c r="AD391" s="109"/>
      <c r="AE391" s="109"/>
      <c r="AF391" s="109"/>
      <c r="AG391" s="109"/>
      <c r="AH391" s="109"/>
      <c r="AI391" s="109"/>
    </row>
    <row r="392">
      <c r="A392" s="112"/>
      <c r="B392" s="112"/>
      <c r="C392" s="112"/>
      <c r="D392" s="119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09"/>
      <c r="AB392" s="109"/>
      <c r="AC392" s="109"/>
      <c r="AD392" s="109"/>
      <c r="AE392" s="109"/>
      <c r="AF392" s="109"/>
      <c r="AG392" s="109"/>
      <c r="AH392" s="109"/>
      <c r="AI392" s="109"/>
    </row>
    <row r="393">
      <c r="A393" s="112"/>
      <c r="B393" s="112"/>
      <c r="C393" s="112"/>
      <c r="D393" s="119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09"/>
      <c r="AB393" s="109"/>
      <c r="AC393" s="109"/>
      <c r="AD393" s="109"/>
      <c r="AE393" s="109"/>
      <c r="AF393" s="109"/>
      <c r="AG393" s="109"/>
      <c r="AH393" s="109"/>
      <c r="AI393" s="109"/>
    </row>
    <row r="394">
      <c r="A394" s="112"/>
      <c r="B394" s="112"/>
      <c r="C394" s="112"/>
      <c r="D394" s="119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09"/>
      <c r="AB394" s="109"/>
      <c r="AC394" s="109"/>
      <c r="AD394" s="109"/>
      <c r="AE394" s="109"/>
      <c r="AF394" s="109"/>
      <c r="AG394" s="109"/>
      <c r="AH394" s="109"/>
      <c r="AI394" s="109"/>
    </row>
    <row r="395">
      <c r="A395" s="112"/>
      <c r="B395" s="112"/>
      <c r="C395" s="112"/>
      <c r="D395" s="119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09"/>
      <c r="AB395" s="109"/>
      <c r="AC395" s="109"/>
      <c r="AD395" s="109"/>
      <c r="AE395" s="109"/>
      <c r="AF395" s="109"/>
      <c r="AG395" s="109"/>
      <c r="AH395" s="109"/>
      <c r="AI395" s="109"/>
    </row>
    <row r="396">
      <c r="A396" s="112"/>
      <c r="B396" s="112"/>
      <c r="C396" s="112"/>
      <c r="D396" s="119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09"/>
      <c r="AB396" s="109"/>
      <c r="AC396" s="109"/>
      <c r="AD396" s="109"/>
      <c r="AE396" s="109"/>
      <c r="AF396" s="109"/>
      <c r="AG396" s="109"/>
      <c r="AH396" s="109"/>
      <c r="AI396" s="109"/>
    </row>
    <row r="397">
      <c r="A397" s="112"/>
      <c r="B397" s="112"/>
      <c r="C397" s="112"/>
      <c r="D397" s="119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09"/>
      <c r="AB397" s="109"/>
      <c r="AC397" s="109"/>
      <c r="AD397" s="109"/>
      <c r="AE397" s="109"/>
      <c r="AF397" s="109"/>
      <c r="AG397" s="109"/>
      <c r="AH397" s="109"/>
      <c r="AI397" s="109"/>
    </row>
    <row r="398">
      <c r="A398" s="112"/>
      <c r="B398" s="112"/>
      <c r="C398" s="112"/>
      <c r="D398" s="119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09"/>
      <c r="AB398" s="109"/>
      <c r="AC398" s="109"/>
      <c r="AD398" s="109"/>
      <c r="AE398" s="109"/>
      <c r="AF398" s="109"/>
      <c r="AG398" s="109"/>
      <c r="AH398" s="109"/>
      <c r="AI398" s="109"/>
    </row>
    <row r="399">
      <c r="A399" s="112"/>
      <c r="B399" s="112"/>
      <c r="C399" s="112"/>
      <c r="D399" s="119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09"/>
      <c r="AB399" s="109"/>
      <c r="AC399" s="109"/>
      <c r="AD399" s="109"/>
      <c r="AE399" s="109"/>
      <c r="AF399" s="109"/>
      <c r="AG399" s="109"/>
      <c r="AH399" s="109"/>
      <c r="AI399" s="109"/>
    </row>
    <row r="400">
      <c r="A400" s="112"/>
      <c r="B400" s="112"/>
      <c r="C400" s="112"/>
      <c r="D400" s="119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09"/>
      <c r="AB400" s="109"/>
      <c r="AC400" s="109"/>
      <c r="AD400" s="109"/>
      <c r="AE400" s="109"/>
      <c r="AF400" s="109"/>
      <c r="AG400" s="109"/>
      <c r="AH400" s="109"/>
      <c r="AI400" s="109"/>
    </row>
    <row r="401">
      <c r="A401" s="112"/>
      <c r="B401" s="112"/>
      <c r="C401" s="112"/>
      <c r="D401" s="119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09"/>
      <c r="AB401" s="109"/>
      <c r="AC401" s="109"/>
      <c r="AD401" s="109"/>
      <c r="AE401" s="109"/>
      <c r="AF401" s="109"/>
      <c r="AG401" s="109"/>
      <c r="AH401" s="109"/>
      <c r="AI401" s="109"/>
    </row>
    <row r="402">
      <c r="A402" s="112"/>
      <c r="B402" s="112"/>
      <c r="C402" s="112"/>
      <c r="D402" s="119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09"/>
      <c r="AB402" s="109"/>
      <c r="AC402" s="109"/>
      <c r="AD402" s="109"/>
      <c r="AE402" s="109"/>
      <c r="AF402" s="109"/>
      <c r="AG402" s="109"/>
      <c r="AH402" s="109"/>
      <c r="AI402" s="109"/>
    </row>
    <row r="403">
      <c r="A403" s="112"/>
      <c r="B403" s="112"/>
      <c r="C403" s="112"/>
      <c r="D403" s="119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09"/>
      <c r="AB403" s="109"/>
      <c r="AC403" s="109"/>
      <c r="AD403" s="109"/>
      <c r="AE403" s="109"/>
      <c r="AF403" s="109"/>
      <c r="AG403" s="109"/>
      <c r="AH403" s="109"/>
      <c r="AI403" s="109"/>
    </row>
    <row r="404">
      <c r="A404" s="112"/>
      <c r="B404" s="112"/>
      <c r="C404" s="112"/>
      <c r="D404" s="119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09"/>
      <c r="AB404" s="109"/>
      <c r="AC404" s="109"/>
      <c r="AD404" s="109"/>
      <c r="AE404" s="109"/>
      <c r="AF404" s="109"/>
      <c r="AG404" s="109"/>
      <c r="AH404" s="109"/>
      <c r="AI404" s="109"/>
    </row>
    <row r="405">
      <c r="A405" s="112"/>
      <c r="B405" s="112"/>
      <c r="C405" s="112"/>
      <c r="D405" s="119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09"/>
      <c r="AB405" s="109"/>
      <c r="AC405" s="109"/>
      <c r="AD405" s="109"/>
      <c r="AE405" s="109"/>
      <c r="AF405" s="109"/>
      <c r="AG405" s="109"/>
      <c r="AH405" s="109"/>
      <c r="AI405" s="109"/>
    </row>
    <row r="406">
      <c r="A406" s="112"/>
      <c r="B406" s="112"/>
      <c r="C406" s="112"/>
      <c r="D406" s="119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09"/>
      <c r="AB406" s="109"/>
      <c r="AC406" s="109"/>
      <c r="AD406" s="109"/>
      <c r="AE406" s="109"/>
      <c r="AF406" s="109"/>
      <c r="AG406" s="109"/>
      <c r="AH406" s="109"/>
      <c r="AI406" s="109"/>
    </row>
    <row r="407">
      <c r="A407" s="112"/>
      <c r="B407" s="112"/>
      <c r="C407" s="112"/>
      <c r="D407" s="119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09"/>
      <c r="AB407" s="109"/>
      <c r="AC407" s="109"/>
      <c r="AD407" s="109"/>
      <c r="AE407" s="109"/>
      <c r="AF407" s="109"/>
      <c r="AG407" s="109"/>
      <c r="AH407" s="109"/>
      <c r="AI407" s="109"/>
    </row>
    <row r="408">
      <c r="A408" s="112"/>
      <c r="B408" s="112"/>
      <c r="C408" s="112"/>
      <c r="D408" s="119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09"/>
      <c r="AB408" s="109"/>
      <c r="AC408" s="109"/>
      <c r="AD408" s="109"/>
      <c r="AE408" s="109"/>
      <c r="AF408" s="109"/>
      <c r="AG408" s="109"/>
      <c r="AH408" s="109"/>
      <c r="AI408" s="109"/>
    </row>
    <row r="409">
      <c r="A409" s="112"/>
      <c r="B409" s="112"/>
      <c r="C409" s="112"/>
      <c r="D409" s="119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09"/>
      <c r="AB409" s="109"/>
      <c r="AC409" s="109"/>
      <c r="AD409" s="109"/>
      <c r="AE409" s="109"/>
      <c r="AF409" s="109"/>
      <c r="AG409" s="109"/>
      <c r="AH409" s="109"/>
      <c r="AI409" s="109"/>
    </row>
    <row r="410">
      <c r="A410" s="112"/>
      <c r="B410" s="112"/>
      <c r="C410" s="112"/>
      <c r="D410" s="119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09"/>
      <c r="AB410" s="109"/>
      <c r="AC410" s="109"/>
      <c r="AD410" s="109"/>
      <c r="AE410" s="109"/>
      <c r="AF410" s="109"/>
      <c r="AG410" s="109"/>
      <c r="AH410" s="109"/>
      <c r="AI410" s="109"/>
    </row>
    <row r="411">
      <c r="A411" s="112"/>
      <c r="B411" s="112"/>
      <c r="C411" s="112"/>
      <c r="D411" s="119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09"/>
      <c r="AB411" s="109"/>
      <c r="AC411" s="109"/>
      <c r="AD411" s="109"/>
      <c r="AE411" s="109"/>
      <c r="AF411" s="109"/>
      <c r="AG411" s="109"/>
      <c r="AH411" s="109"/>
      <c r="AI411" s="109"/>
    </row>
    <row r="412">
      <c r="A412" s="112"/>
      <c r="B412" s="112"/>
      <c r="C412" s="112"/>
      <c r="D412" s="119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09"/>
      <c r="AB412" s="109"/>
      <c r="AC412" s="109"/>
      <c r="AD412" s="109"/>
      <c r="AE412" s="109"/>
      <c r="AF412" s="109"/>
      <c r="AG412" s="109"/>
      <c r="AH412" s="109"/>
      <c r="AI412" s="109"/>
    </row>
    <row r="413">
      <c r="A413" s="112"/>
      <c r="B413" s="112"/>
      <c r="C413" s="112"/>
      <c r="D413" s="119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09"/>
      <c r="AB413" s="109"/>
      <c r="AC413" s="109"/>
      <c r="AD413" s="109"/>
      <c r="AE413" s="109"/>
      <c r="AF413" s="109"/>
      <c r="AG413" s="109"/>
      <c r="AH413" s="109"/>
      <c r="AI413" s="109"/>
    </row>
    <row r="414">
      <c r="A414" s="112"/>
      <c r="B414" s="112"/>
      <c r="C414" s="112"/>
      <c r="D414" s="119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09"/>
      <c r="AB414" s="109"/>
      <c r="AC414" s="109"/>
      <c r="AD414" s="109"/>
      <c r="AE414" s="109"/>
      <c r="AF414" s="109"/>
      <c r="AG414" s="109"/>
      <c r="AH414" s="109"/>
      <c r="AI414" s="109"/>
    </row>
    <row r="415">
      <c r="A415" s="112"/>
      <c r="B415" s="112"/>
      <c r="C415" s="112"/>
      <c r="D415" s="119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09"/>
      <c r="AB415" s="109"/>
      <c r="AC415" s="109"/>
      <c r="AD415" s="109"/>
      <c r="AE415" s="109"/>
      <c r="AF415" s="109"/>
      <c r="AG415" s="109"/>
      <c r="AH415" s="109"/>
      <c r="AI415" s="109"/>
    </row>
    <row r="416">
      <c r="A416" s="112"/>
      <c r="B416" s="112"/>
      <c r="C416" s="112"/>
      <c r="D416" s="119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09"/>
      <c r="AB416" s="109"/>
      <c r="AC416" s="109"/>
      <c r="AD416" s="109"/>
      <c r="AE416" s="109"/>
      <c r="AF416" s="109"/>
      <c r="AG416" s="109"/>
      <c r="AH416" s="109"/>
      <c r="AI416" s="109"/>
    </row>
    <row r="417">
      <c r="A417" s="112"/>
      <c r="B417" s="112"/>
      <c r="C417" s="112"/>
      <c r="D417" s="119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09"/>
      <c r="AB417" s="109"/>
      <c r="AC417" s="109"/>
      <c r="AD417" s="109"/>
      <c r="AE417" s="109"/>
      <c r="AF417" s="109"/>
      <c r="AG417" s="109"/>
      <c r="AH417" s="109"/>
      <c r="AI417" s="109"/>
    </row>
    <row r="418">
      <c r="A418" s="112"/>
      <c r="B418" s="112"/>
      <c r="C418" s="112"/>
      <c r="D418" s="119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09"/>
      <c r="AB418" s="109"/>
      <c r="AC418" s="109"/>
      <c r="AD418" s="109"/>
      <c r="AE418" s="109"/>
      <c r="AF418" s="109"/>
      <c r="AG418" s="109"/>
      <c r="AH418" s="109"/>
      <c r="AI418" s="109"/>
    </row>
    <row r="419">
      <c r="A419" s="112"/>
      <c r="B419" s="112"/>
      <c r="C419" s="112"/>
      <c r="D419" s="119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09"/>
      <c r="AB419" s="109"/>
      <c r="AC419" s="109"/>
      <c r="AD419" s="109"/>
      <c r="AE419" s="109"/>
      <c r="AF419" s="109"/>
      <c r="AG419" s="109"/>
      <c r="AH419" s="109"/>
      <c r="AI419" s="109"/>
    </row>
    <row r="420">
      <c r="A420" s="112"/>
      <c r="B420" s="112"/>
      <c r="C420" s="112"/>
      <c r="D420" s="119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09"/>
      <c r="AB420" s="109"/>
      <c r="AC420" s="109"/>
      <c r="AD420" s="109"/>
      <c r="AE420" s="109"/>
      <c r="AF420" s="109"/>
      <c r="AG420" s="109"/>
      <c r="AH420" s="109"/>
      <c r="AI420" s="109"/>
    </row>
    <row r="421">
      <c r="A421" s="112"/>
      <c r="B421" s="112"/>
      <c r="C421" s="112"/>
      <c r="D421" s="119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09"/>
      <c r="AB421" s="109"/>
      <c r="AC421" s="109"/>
      <c r="AD421" s="109"/>
      <c r="AE421" s="109"/>
      <c r="AF421" s="109"/>
      <c r="AG421" s="109"/>
      <c r="AH421" s="109"/>
      <c r="AI421" s="109"/>
    </row>
    <row r="422">
      <c r="A422" s="112"/>
      <c r="B422" s="112"/>
      <c r="C422" s="112"/>
      <c r="D422" s="119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09"/>
      <c r="AB422" s="109"/>
      <c r="AC422" s="109"/>
      <c r="AD422" s="109"/>
      <c r="AE422" s="109"/>
      <c r="AF422" s="109"/>
      <c r="AG422" s="109"/>
      <c r="AH422" s="109"/>
      <c r="AI422" s="109"/>
    </row>
    <row r="423">
      <c r="A423" s="112"/>
      <c r="B423" s="112"/>
      <c r="C423" s="112"/>
      <c r="D423" s="119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09"/>
      <c r="AB423" s="109"/>
      <c r="AC423" s="109"/>
      <c r="AD423" s="109"/>
      <c r="AE423" s="109"/>
      <c r="AF423" s="109"/>
      <c r="AG423" s="109"/>
      <c r="AH423" s="109"/>
      <c r="AI423" s="109"/>
    </row>
    <row r="424">
      <c r="A424" s="112"/>
      <c r="B424" s="112"/>
      <c r="C424" s="112"/>
      <c r="D424" s="119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09"/>
      <c r="AB424" s="109"/>
      <c r="AC424" s="109"/>
      <c r="AD424" s="109"/>
      <c r="AE424" s="109"/>
      <c r="AF424" s="109"/>
      <c r="AG424" s="109"/>
      <c r="AH424" s="109"/>
      <c r="AI424" s="109"/>
    </row>
    <row r="425">
      <c r="A425" s="112"/>
      <c r="B425" s="112"/>
      <c r="C425" s="112"/>
      <c r="D425" s="119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09"/>
      <c r="AB425" s="109"/>
      <c r="AC425" s="109"/>
      <c r="AD425" s="109"/>
      <c r="AE425" s="109"/>
      <c r="AF425" s="109"/>
      <c r="AG425" s="109"/>
      <c r="AH425" s="109"/>
      <c r="AI425" s="109"/>
    </row>
    <row r="426">
      <c r="A426" s="112"/>
      <c r="B426" s="112"/>
      <c r="C426" s="112"/>
      <c r="D426" s="119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09"/>
      <c r="AB426" s="109"/>
      <c r="AC426" s="109"/>
      <c r="AD426" s="109"/>
      <c r="AE426" s="109"/>
      <c r="AF426" s="109"/>
      <c r="AG426" s="109"/>
      <c r="AH426" s="109"/>
      <c r="AI426" s="109"/>
    </row>
    <row r="427">
      <c r="A427" s="112"/>
      <c r="B427" s="112"/>
      <c r="C427" s="112"/>
      <c r="D427" s="119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09"/>
      <c r="AB427" s="109"/>
      <c r="AC427" s="109"/>
      <c r="AD427" s="109"/>
      <c r="AE427" s="109"/>
      <c r="AF427" s="109"/>
      <c r="AG427" s="109"/>
      <c r="AH427" s="109"/>
      <c r="AI427" s="109"/>
    </row>
    <row r="428">
      <c r="A428" s="112"/>
      <c r="B428" s="112"/>
      <c r="C428" s="112"/>
      <c r="D428" s="119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09"/>
      <c r="AB428" s="109"/>
      <c r="AC428" s="109"/>
      <c r="AD428" s="109"/>
      <c r="AE428" s="109"/>
      <c r="AF428" s="109"/>
      <c r="AG428" s="109"/>
      <c r="AH428" s="109"/>
      <c r="AI428" s="109"/>
    </row>
    <row r="429">
      <c r="A429" s="112"/>
      <c r="B429" s="112"/>
      <c r="C429" s="112"/>
      <c r="D429" s="119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09"/>
      <c r="AB429" s="109"/>
      <c r="AC429" s="109"/>
      <c r="AD429" s="109"/>
      <c r="AE429" s="109"/>
      <c r="AF429" s="109"/>
      <c r="AG429" s="109"/>
      <c r="AH429" s="109"/>
      <c r="AI429" s="109"/>
    </row>
    <row r="430">
      <c r="A430" s="112"/>
      <c r="B430" s="112"/>
      <c r="C430" s="112"/>
      <c r="D430" s="119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09"/>
      <c r="AB430" s="109"/>
      <c r="AC430" s="109"/>
      <c r="AD430" s="109"/>
      <c r="AE430" s="109"/>
      <c r="AF430" s="109"/>
      <c r="AG430" s="109"/>
      <c r="AH430" s="109"/>
      <c r="AI430" s="109"/>
    </row>
    <row r="431">
      <c r="A431" s="112"/>
      <c r="B431" s="112"/>
      <c r="C431" s="112"/>
      <c r="D431" s="119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09"/>
      <c r="AB431" s="109"/>
      <c r="AC431" s="109"/>
      <c r="AD431" s="109"/>
      <c r="AE431" s="109"/>
      <c r="AF431" s="109"/>
      <c r="AG431" s="109"/>
      <c r="AH431" s="109"/>
      <c r="AI431" s="109"/>
    </row>
    <row r="432">
      <c r="A432" s="112"/>
      <c r="B432" s="112"/>
      <c r="C432" s="112"/>
      <c r="D432" s="119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09"/>
      <c r="AB432" s="109"/>
      <c r="AC432" s="109"/>
      <c r="AD432" s="109"/>
      <c r="AE432" s="109"/>
      <c r="AF432" s="109"/>
      <c r="AG432" s="109"/>
      <c r="AH432" s="109"/>
      <c r="AI432" s="109"/>
    </row>
    <row r="433">
      <c r="A433" s="112"/>
      <c r="B433" s="112"/>
      <c r="C433" s="112"/>
      <c r="D433" s="119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09"/>
      <c r="AB433" s="109"/>
      <c r="AC433" s="109"/>
      <c r="AD433" s="109"/>
      <c r="AE433" s="109"/>
      <c r="AF433" s="109"/>
      <c r="AG433" s="109"/>
      <c r="AH433" s="109"/>
      <c r="AI433" s="109"/>
    </row>
    <row r="434">
      <c r="A434" s="112"/>
      <c r="B434" s="112"/>
      <c r="C434" s="112"/>
      <c r="D434" s="119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09"/>
      <c r="AB434" s="109"/>
      <c r="AC434" s="109"/>
      <c r="AD434" s="109"/>
      <c r="AE434" s="109"/>
      <c r="AF434" s="109"/>
      <c r="AG434" s="109"/>
      <c r="AH434" s="109"/>
      <c r="AI434" s="109"/>
    </row>
    <row r="435">
      <c r="A435" s="112"/>
      <c r="B435" s="112"/>
      <c r="C435" s="112"/>
      <c r="D435" s="119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09"/>
      <c r="AB435" s="109"/>
      <c r="AC435" s="109"/>
      <c r="AD435" s="109"/>
      <c r="AE435" s="109"/>
      <c r="AF435" s="109"/>
      <c r="AG435" s="109"/>
      <c r="AH435" s="109"/>
      <c r="AI435" s="109"/>
    </row>
    <row r="436">
      <c r="A436" s="112"/>
      <c r="B436" s="112"/>
      <c r="C436" s="112"/>
      <c r="D436" s="119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09"/>
      <c r="AB436" s="109"/>
      <c r="AC436" s="109"/>
      <c r="AD436" s="109"/>
      <c r="AE436" s="109"/>
      <c r="AF436" s="109"/>
      <c r="AG436" s="109"/>
      <c r="AH436" s="109"/>
      <c r="AI436" s="109"/>
    </row>
    <row r="437">
      <c r="A437" s="112"/>
      <c r="B437" s="112"/>
      <c r="C437" s="112"/>
      <c r="D437" s="119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09"/>
      <c r="AB437" s="109"/>
      <c r="AC437" s="109"/>
      <c r="AD437" s="109"/>
      <c r="AE437" s="109"/>
      <c r="AF437" s="109"/>
      <c r="AG437" s="109"/>
      <c r="AH437" s="109"/>
      <c r="AI437" s="109"/>
    </row>
    <row r="438">
      <c r="A438" s="112"/>
      <c r="B438" s="112"/>
      <c r="C438" s="112"/>
      <c r="D438" s="119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09"/>
      <c r="AB438" s="109"/>
      <c r="AC438" s="109"/>
      <c r="AD438" s="109"/>
      <c r="AE438" s="109"/>
      <c r="AF438" s="109"/>
      <c r="AG438" s="109"/>
      <c r="AH438" s="109"/>
      <c r="AI438" s="109"/>
    </row>
    <row r="439">
      <c r="A439" s="112"/>
      <c r="B439" s="112"/>
      <c r="C439" s="112"/>
      <c r="D439" s="119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09"/>
      <c r="AB439" s="109"/>
      <c r="AC439" s="109"/>
      <c r="AD439" s="109"/>
      <c r="AE439" s="109"/>
      <c r="AF439" s="109"/>
      <c r="AG439" s="109"/>
      <c r="AH439" s="109"/>
      <c r="AI439" s="109"/>
    </row>
    <row r="440">
      <c r="A440" s="112"/>
      <c r="B440" s="112"/>
      <c r="C440" s="112"/>
      <c r="D440" s="119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09"/>
      <c r="AB440" s="109"/>
      <c r="AC440" s="109"/>
      <c r="AD440" s="109"/>
      <c r="AE440" s="109"/>
      <c r="AF440" s="109"/>
      <c r="AG440" s="109"/>
      <c r="AH440" s="109"/>
      <c r="AI440" s="109"/>
    </row>
    <row r="441">
      <c r="A441" s="112"/>
      <c r="B441" s="112"/>
      <c r="C441" s="112"/>
      <c r="D441" s="119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09"/>
      <c r="AB441" s="109"/>
      <c r="AC441" s="109"/>
      <c r="AD441" s="109"/>
      <c r="AE441" s="109"/>
      <c r="AF441" s="109"/>
      <c r="AG441" s="109"/>
      <c r="AH441" s="109"/>
      <c r="AI441" s="109"/>
    </row>
    <row r="442">
      <c r="A442" s="112"/>
      <c r="B442" s="112"/>
      <c r="C442" s="112"/>
      <c r="D442" s="119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09"/>
      <c r="AB442" s="109"/>
      <c r="AC442" s="109"/>
      <c r="AD442" s="109"/>
      <c r="AE442" s="109"/>
      <c r="AF442" s="109"/>
      <c r="AG442" s="109"/>
      <c r="AH442" s="109"/>
      <c r="AI442" s="109"/>
    </row>
    <row r="443">
      <c r="A443" s="112"/>
      <c r="B443" s="112"/>
      <c r="C443" s="112"/>
      <c r="D443" s="119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09"/>
      <c r="AB443" s="109"/>
      <c r="AC443" s="109"/>
      <c r="AD443" s="109"/>
      <c r="AE443" s="109"/>
      <c r="AF443" s="109"/>
      <c r="AG443" s="109"/>
      <c r="AH443" s="109"/>
      <c r="AI443" s="109"/>
    </row>
    <row r="444">
      <c r="A444" s="112"/>
      <c r="B444" s="112"/>
      <c r="C444" s="112"/>
      <c r="D444" s="119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09"/>
      <c r="AB444" s="109"/>
      <c r="AC444" s="109"/>
      <c r="AD444" s="109"/>
      <c r="AE444" s="109"/>
      <c r="AF444" s="109"/>
      <c r="AG444" s="109"/>
      <c r="AH444" s="109"/>
      <c r="AI444" s="109"/>
    </row>
    <row r="445">
      <c r="A445" s="112"/>
      <c r="B445" s="112"/>
      <c r="C445" s="112"/>
      <c r="D445" s="119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09"/>
      <c r="AB445" s="109"/>
      <c r="AC445" s="109"/>
      <c r="AD445" s="109"/>
      <c r="AE445" s="109"/>
      <c r="AF445" s="109"/>
      <c r="AG445" s="109"/>
      <c r="AH445" s="109"/>
      <c r="AI445" s="109"/>
    </row>
    <row r="446">
      <c r="A446" s="112"/>
      <c r="B446" s="112"/>
      <c r="C446" s="112"/>
      <c r="D446" s="119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09"/>
      <c r="AB446" s="109"/>
      <c r="AC446" s="109"/>
      <c r="AD446" s="109"/>
      <c r="AE446" s="109"/>
      <c r="AF446" s="109"/>
      <c r="AG446" s="109"/>
      <c r="AH446" s="109"/>
      <c r="AI446" s="109"/>
    </row>
    <row r="447">
      <c r="A447" s="112"/>
      <c r="B447" s="112"/>
      <c r="C447" s="112"/>
      <c r="D447" s="119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09"/>
      <c r="AB447" s="109"/>
      <c r="AC447" s="109"/>
      <c r="AD447" s="109"/>
      <c r="AE447" s="109"/>
      <c r="AF447" s="109"/>
      <c r="AG447" s="109"/>
      <c r="AH447" s="109"/>
      <c r="AI447" s="109"/>
    </row>
    <row r="448">
      <c r="A448" s="112"/>
      <c r="B448" s="112"/>
      <c r="C448" s="112"/>
      <c r="D448" s="119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09"/>
      <c r="AB448" s="109"/>
      <c r="AC448" s="109"/>
      <c r="AD448" s="109"/>
      <c r="AE448" s="109"/>
      <c r="AF448" s="109"/>
      <c r="AG448" s="109"/>
      <c r="AH448" s="109"/>
      <c r="AI448" s="109"/>
    </row>
    <row r="449">
      <c r="A449" s="112"/>
      <c r="B449" s="112"/>
      <c r="C449" s="112"/>
      <c r="D449" s="119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09"/>
      <c r="AB449" s="109"/>
      <c r="AC449" s="109"/>
      <c r="AD449" s="109"/>
      <c r="AE449" s="109"/>
      <c r="AF449" s="109"/>
      <c r="AG449" s="109"/>
      <c r="AH449" s="109"/>
      <c r="AI449" s="109"/>
    </row>
    <row r="450">
      <c r="A450" s="112"/>
      <c r="B450" s="112"/>
      <c r="C450" s="112"/>
      <c r="D450" s="119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09"/>
      <c r="AB450" s="109"/>
      <c r="AC450" s="109"/>
      <c r="AD450" s="109"/>
      <c r="AE450" s="109"/>
      <c r="AF450" s="109"/>
      <c r="AG450" s="109"/>
      <c r="AH450" s="109"/>
      <c r="AI450" s="109"/>
    </row>
    <row r="451">
      <c r="A451" s="112"/>
      <c r="B451" s="112"/>
      <c r="C451" s="112"/>
      <c r="D451" s="119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09"/>
      <c r="AB451" s="109"/>
      <c r="AC451" s="109"/>
      <c r="AD451" s="109"/>
      <c r="AE451" s="109"/>
      <c r="AF451" s="109"/>
      <c r="AG451" s="109"/>
      <c r="AH451" s="109"/>
      <c r="AI451" s="109"/>
    </row>
    <row r="452">
      <c r="A452" s="112"/>
      <c r="B452" s="112"/>
      <c r="C452" s="112"/>
      <c r="D452" s="119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09"/>
      <c r="AB452" s="109"/>
      <c r="AC452" s="109"/>
      <c r="AD452" s="109"/>
      <c r="AE452" s="109"/>
      <c r="AF452" s="109"/>
      <c r="AG452" s="109"/>
      <c r="AH452" s="109"/>
      <c r="AI452" s="109"/>
    </row>
    <row r="453">
      <c r="A453" s="112"/>
      <c r="B453" s="112"/>
      <c r="C453" s="112"/>
      <c r="D453" s="119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09"/>
      <c r="AB453" s="109"/>
      <c r="AC453" s="109"/>
      <c r="AD453" s="109"/>
      <c r="AE453" s="109"/>
      <c r="AF453" s="109"/>
      <c r="AG453" s="109"/>
      <c r="AH453" s="109"/>
      <c r="AI453" s="109"/>
    </row>
    <row r="454">
      <c r="A454" s="112"/>
      <c r="B454" s="112"/>
      <c r="C454" s="112"/>
      <c r="D454" s="119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09"/>
      <c r="AB454" s="109"/>
      <c r="AC454" s="109"/>
      <c r="AD454" s="109"/>
      <c r="AE454" s="109"/>
      <c r="AF454" s="109"/>
      <c r="AG454" s="109"/>
      <c r="AH454" s="109"/>
      <c r="AI454" s="109"/>
    </row>
    <row r="455">
      <c r="A455" s="112"/>
      <c r="B455" s="112"/>
      <c r="C455" s="112"/>
      <c r="D455" s="119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09"/>
      <c r="AB455" s="109"/>
      <c r="AC455" s="109"/>
      <c r="AD455" s="109"/>
      <c r="AE455" s="109"/>
      <c r="AF455" s="109"/>
      <c r="AG455" s="109"/>
      <c r="AH455" s="109"/>
      <c r="AI455" s="109"/>
    </row>
    <row r="456">
      <c r="A456" s="112"/>
      <c r="B456" s="112"/>
      <c r="C456" s="112"/>
      <c r="D456" s="119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09"/>
      <c r="AB456" s="109"/>
      <c r="AC456" s="109"/>
      <c r="AD456" s="109"/>
      <c r="AE456" s="109"/>
      <c r="AF456" s="109"/>
      <c r="AG456" s="109"/>
      <c r="AH456" s="109"/>
      <c r="AI456" s="109"/>
    </row>
    <row r="457">
      <c r="A457" s="112"/>
      <c r="B457" s="112"/>
      <c r="C457" s="112"/>
      <c r="D457" s="119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09"/>
      <c r="AB457" s="109"/>
      <c r="AC457" s="109"/>
      <c r="AD457" s="109"/>
      <c r="AE457" s="109"/>
      <c r="AF457" s="109"/>
      <c r="AG457" s="109"/>
      <c r="AH457" s="109"/>
      <c r="AI457" s="109"/>
    </row>
    <row r="458">
      <c r="A458" s="112"/>
      <c r="B458" s="112"/>
      <c r="C458" s="112"/>
      <c r="D458" s="119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09"/>
      <c r="AB458" s="109"/>
      <c r="AC458" s="109"/>
      <c r="AD458" s="109"/>
      <c r="AE458" s="109"/>
      <c r="AF458" s="109"/>
      <c r="AG458" s="109"/>
      <c r="AH458" s="109"/>
      <c r="AI458" s="109"/>
    </row>
    <row r="459">
      <c r="A459" s="112"/>
      <c r="B459" s="112"/>
      <c r="C459" s="112"/>
      <c r="D459" s="119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09"/>
      <c r="AB459" s="109"/>
      <c r="AC459" s="109"/>
      <c r="AD459" s="109"/>
      <c r="AE459" s="109"/>
      <c r="AF459" s="109"/>
      <c r="AG459" s="109"/>
      <c r="AH459" s="109"/>
      <c r="AI459" s="109"/>
    </row>
    <row r="460">
      <c r="A460" s="112"/>
      <c r="B460" s="112"/>
      <c r="C460" s="112"/>
      <c r="D460" s="119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09"/>
      <c r="AB460" s="109"/>
      <c r="AC460" s="109"/>
      <c r="AD460" s="109"/>
      <c r="AE460" s="109"/>
      <c r="AF460" s="109"/>
      <c r="AG460" s="109"/>
      <c r="AH460" s="109"/>
      <c r="AI460" s="109"/>
    </row>
    <row r="461">
      <c r="A461" s="112"/>
      <c r="B461" s="112"/>
      <c r="C461" s="112"/>
      <c r="D461" s="119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09"/>
      <c r="AB461" s="109"/>
      <c r="AC461" s="109"/>
      <c r="AD461" s="109"/>
      <c r="AE461" s="109"/>
      <c r="AF461" s="109"/>
      <c r="AG461" s="109"/>
      <c r="AH461" s="109"/>
      <c r="AI461" s="109"/>
    </row>
    <row r="462">
      <c r="A462" s="112"/>
      <c r="B462" s="112"/>
      <c r="C462" s="112"/>
      <c r="D462" s="119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09"/>
      <c r="AB462" s="109"/>
      <c r="AC462" s="109"/>
      <c r="AD462" s="109"/>
      <c r="AE462" s="109"/>
      <c r="AF462" s="109"/>
      <c r="AG462" s="109"/>
      <c r="AH462" s="109"/>
      <c r="AI462" s="109"/>
    </row>
    <row r="463">
      <c r="A463" s="112"/>
      <c r="B463" s="112"/>
      <c r="C463" s="112"/>
      <c r="D463" s="119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09"/>
      <c r="AB463" s="109"/>
      <c r="AC463" s="109"/>
      <c r="AD463" s="109"/>
      <c r="AE463" s="109"/>
      <c r="AF463" s="109"/>
      <c r="AG463" s="109"/>
      <c r="AH463" s="109"/>
      <c r="AI463" s="109"/>
    </row>
    <row r="464">
      <c r="A464" s="112"/>
      <c r="B464" s="112"/>
      <c r="C464" s="112"/>
      <c r="D464" s="119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09"/>
      <c r="AB464" s="109"/>
      <c r="AC464" s="109"/>
      <c r="AD464" s="109"/>
      <c r="AE464" s="109"/>
      <c r="AF464" s="109"/>
      <c r="AG464" s="109"/>
      <c r="AH464" s="109"/>
      <c r="AI464" s="109"/>
    </row>
    <row r="465">
      <c r="A465" s="112"/>
      <c r="B465" s="112"/>
      <c r="C465" s="112"/>
      <c r="D465" s="119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09"/>
      <c r="AB465" s="109"/>
      <c r="AC465" s="109"/>
      <c r="AD465" s="109"/>
      <c r="AE465" s="109"/>
      <c r="AF465" s="109"/>
      <c r="AG465" s="109"/>
      <c r="AH465" s="109"/>
      <c r="AI465" s="109"/>
    </row>
    <row r="466">
      <c r="A466" s="112"/>
      <c r="B466" s="112"/>
      <c r="C466" s="112"/>
      <c r="D466" s="119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09"/>
      <c r="AB466" s="109"/>
      <c r="AC466" s="109"/>
      <c r="AD466" s="109"/>
      <c r="AE466" s="109"/>
      <c r="AF466" s="109"/>
      <c r="AG466" s="109"/>
      <c r="AH466" s="109"/>
      <c r="AI466" s="109"/>
    </row>
    <row r="467">
      <c r="A467" s="112"/>
      <c r="B467" s="112"/>
      <c r="C467" s="112"/>
      <c r="D467" s="119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09"/>
      <c r="AB467" s="109"/>
      <c r="AC467" s="109"/>
      <c r="AD467" s="109"/>
      <c r="AE467" s="109"/>
      <c r="AF467" s="109"/>
      <c r="AG467" s="109"/>
      <c r="AH467" s="109"/>
      <c r="AI467" s="109"/>
    </row>
    <row r="468">
      <c r="A468" s="112"/>
      <c r="B468" s="112"/>
      <c r="C468" s="112"/>
      <c r="D468" s="119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09"/>
      <c r="AB468" s="109"/>
      <c r="AC468" s="109"/>
      <c r="AD468" s="109"/>
      <c r="AE468" s="109"/>
      <c r="AF468" s="109"/>
      <c r="AG468" s="109"/>
      <c r="AH468" s="109"/>
      <c r="AI468" s="109"/>
    </row>
    <row r="469">
      <c r="A469" s="112"/>
      <c r="B469" s="112"/>
      <c r="C469" s="112"/>
      <c r="D469" s="119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09"/>
      <c r="AB469" s="109"/>
      <c r="AC469" s="109"/>
      <c r="AD469" s="109"/>
      <c r="AE469" s="109"/>
      <c r="AF469" s="109"/>
      <c r="AG469" s="109"/>
      <c r="AH469" s="109"/>
      <c r="AI469" s="109"/>
    </row>
    <row r="470">
      <c r="A470" s="112"/>
      <c r="B470" s="112"/>
      <c r="C470" s="112"/>
      <c r="D470" s="119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09"/>
      <c r="AB470" s="109"/>
      <c r="AC470" s="109"/>
      <c r="AD470" s="109"/>
      <c r="AE470" s="109"/>
      <c r="AF470" s="109"/>
      <c r="AG470" s="109"/>
      <c r="AH470" s="109"/>
      <c r="AI470" s="109"/>
    </row>
    <row r="471">
      <c r="A471" s="112"/>
      <c r="B471" s="112"/>
      <c r="C471" s="112"/>
      <c r="D471" s="119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09"/>
      <c r="AB471" s="109"/>
      <c r="AC471" s="109"/>
      <c r="AD471" s="109"/>
      <c r="AE471" s="109"/>
      <c r="AF471" s="109"/>
      <c r="AG471" s="109"/>
      <c r="AH471" s="109"/>
      <c r="AI471" s="109"/>
    </row>
    <row r="472">
      <c r="A472" s="112"/>
      <c r="B472" s="112"/>
      <c r="C472" s="112"/>
      <c r="D472" s="119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09"/>
      <c r="AB472" s="109"/>
      <c r="AC472" s="109"/>
      <c r="AD472" s="109"/>
      <c r="AE472" s="109"/>
      <c r="AF472" s="109"/>
      <c r="AG472" s="109"/>
      <c r="AH472" s="109"/>
      <c r="AI472" s="109"/>
    </row>
    <row r="473">
      <c r="A473" s="112"/>
      <c r="B473" s="112"/>
      <c r="C473" s="112"/>
      <c r="D473" s="119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09"/>
      <c r="AB473" s="109"/>
      <c r="AC473" s="109"/>
      <c r="AD473" s="109"/>
      <c r="AE473" s="109"/>
      <c r="AF473" s="109"/>
      <c r="AG473" s="109"/>
      <c r="AH473" s="109"/>
      <c r="AI473" s="109"/>
    </row>
    <row r="474">
      <c r="A474" s="112"/>
      <c r="B474" s="112"/>
      <c r="C474" s="112"/>
      <c r="D474" s="119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09"/>
      <c r="AB474" s="109"/>
      <c r="AC474" s="109"/>
      <c r="AD474" s="109"/>
      <c r="AE474" s="109"/>
      <c r="AF474" s="109"/>
      <c r="AG474" s="109"/>
      <c r="AH474" s="109"/>
      <c r="AI474" s="109"/>
    </row>
    <row r="475">
      <c r="A475" s="112"/>
      <c r="B475" s="112"/>
      <c r="C475" s="112"/>
      <c r="D475" s="119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09"/>
      <c r="AB475" s="109"/>
      <c r="AC475" s="109"/>
      <c r="AD475" s="109"/>
      <c r="AE475" s="109"/>
      <c r="AF475" s="109"/>
      <c r="AG475" s="109"/>
      <c r="AH475" s="109"/>
      <c r="AI475" s="109"/>
    </row>
    <row r="476">
      <c r="A476" s="112"/>
      <c r="B476" s="112"/>
      <c r="C476" s="112"/>
      <c r="D476" s="119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09"/>
      <c r="AB476" s="109"/>
      <c r="AC476" s="109"/>
      <c r="AD476" s="109"/>
      <c r="AE476" s="109"/>
      <c r="AF476" s="109"/>
      <c r="AG476" s="109"/>
      <c r="AH476" s="109"/>
      <c r="AI476" s="109"/>
    </row>
    <row r="477">
      <c r="A477" s="112"/>
      <c r="B477" s="112"/>
      <c r="C477" s="112"/>
      <c r="D477" s="119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09"/>
      <c r="AB477" s="109"/>
      <c r="AC477" s="109"/>
      <c r="AD477" s="109"/>
      <c r="AE477" s="109"/>
      <c r="AF477" s="109"/>
      <c r="AG477" s="109"/>
      <c r="AH477" s="109"/>
      <c r="AI477" s="109"/>
    </row>
    <row r="478">
      <c r="A478" s="112"/>
      <c r="B478" s="112"/>
      <c r="C478" s="112"/>
      <c r="D478" s="119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09"/>
      <c r="AB478" s="109"/>
      <c r="AC478" s="109"/>
      <c r="AD478" s="109"/>
      <c r="AE478" s="109"/>
      <c r="AF478" s="109"/>
      <c r="AG478" s="109"/>
      <c r="AH478" s="109"/>
      <c r="AI478" s="109"/>
    </row>
    <row r="479">
      <c r="A479" s="112"/>
      <c r="B479" s="112"/>
      <c r="C479" s="112"/>
      <c r="D479" s="119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09"/>
      <c r="AB479" s="109"/>
      <c r="AC479" s="109"/>
      <c r="AD479" s="109"/>
      <c r="AE479" s="109"/>
      <c r="AF479" s="109"/>
      <c r="AG479" s="109"/>
      <c r="AH479" s="109"/>
      <c r="AI479" s="109"/>
    </row>
    <row r="480">
      <c r="A480" s="112"/>
      <c r="B480" s="112"/>
      <c r="C480" s="112"/>
      <c r="D480" s="119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09"/>
      <c r="AB480" s="109"/>
      <c r="AC480" s="109"/>
      <c r="AD480" s="109"/>
      <c r="AE480" s="109"/>
      <c r="AF480" s="109"/>
      <c r="AG480" s="109"/>
      <c r="AH480" s="109"/>
      <c r="AI480" s="109"/>
    </row>
    <row r="481">
      <c r="A481" s="112"/>
      <c r="B481" s="112"/>
      <c r="C481" s="112"/>
      <c r="D481" s="119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09"/>
      <c r="AB481" s="109"/>
      <c r="AC481" s="109"/>
      <c r="AD481" s="109"/>
      <c r="AE481" s="109"/>
      <c r="AF481" s="109"/>
      <c r="AG481" s="109"/>
      <c r="AH481" s="109"/>
      <c r="AI481" s="109"/>
    </row>
    <row r="482">
      <c r="A482" s="112"/>
      <c r="B482" s="112"/>
      <c r="C482" s="112"/>
      <c r="D482" s="119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09"/>
      <c r="AB482" s="109"/>
      <c r="AC482" s="109"/>
      <c r="AD482" s="109"/>
      <c r="AE482" s="109"/>
      <c r="AF482" s="109"/>
      <c r="AG482" s="109"/>
      <c r="AH482" s="109"/>
      <c r="AI482" s="109"/>
    </row>
    <row r="483">
      <c r="A483" s="112"/>
      <c r="B483" s="112"/>
      <c r="C483" s="112"/>
      <c r="D483" s="119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09"/>
      <c r="AB483" s="109"/>
      <c r="AC483" s="109"/>
      <c r="AD483" s="109"/>
      <c r="AE483" s="109"/>
      <c r="AF483" s="109"/>
      <c r="AG483" s="109"/>
      <c r="AH483" s="109"/>
      <c r="AI483" s="109"/>
    </row>
    <row r="484">
      <c r="A484" s="112"/>
      <c r="B484" s="112"/>
      <c r="C484" s="112"/>
      <c r="D484" s="119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09"/>
      <c r="AB484" s="109"/>
      <c r="AC484" s="109"/>
      <c r="AD484" s="109"/>
      <c r="AE484" s="109"/>
      <c r="AF484" s="109"/>
      <c r="AG484" s="109"/>
      <c r="AH484" s="109"/>
      <c r="AI484" s="109"/>
    </row>
    <row r="485">
      <c r="A485" s="112"/>
      <c r="B485" s="112"/>
      <c r="C485" s="112"/>
      <c r="D485" s="119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09"/>
      <c r="AB485" s="109"/>
      <c r="AC485" s="109"/>
      <c r="AD485" s="109"/>
      <c r="AE485" s="109"/>
      <c r="AF485" s="109"/>
      <c r="AG485" s="109"/>
      <c r="AH485" s="109"/>
      <c r="AI485" s="109"/>
    </row>
    <row r="486">
      <c r="A486" s="112"/>
      <c r="B486" s="112"/>
      <c r="C486" s="112"/>
      <c r="D486" s="119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09"/>
      <c r="AB486" s="109"/>
      <c r="AC486" s="109"/>
      <c r="AD486" s="109"/>
      <c r="AE486" s="109"/>
      <c r="AF486" s="109"/>
      <c r="AG486" s="109"/>
      <c r="AH486" s="109"/>
      <c r="AI486" s="109"/>
    </row>
    <row r="487">
      <c r="A487" s="112"/>
      <c r="B487" s="112"/>
      <c r="C487" s="112"/>
      <c r="D487" s="119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09"/>
      <c r="AB487" s="109"/>
      <c r="AC487" s="109"/>
      <c r="AD487" s="109"/>
      <c r="AE487" s="109"/>
      <c r="AF487" s="109"/>
      <c r="AG487" s="109"/>
      <c r="AH487" s="109"/>
      <c r="AI487" s="109"/>
    </row>
    <row r="488">
      <c r="A488" s="112"/>
      <c r="B488" s="112"/>
      <c r="C488" s="112"/>
      <c r="D488" s="119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09"/>
      <c r="AB488" s="109"/>
      <c r="AC488" s="109"/>
      <c r="AD488" s="109"/>
      <c r="AE488" s="109"/>
      <c r="AF488" s="109"/>
      <c r="AG488" s="109"/>
      <c r="AH488" s="109"/>
      <c r="AI488" s="109"/>
    </row>
    <row r="489">
      <c r="A489" s="112"/>
      <c r="B489" s="112"/>
      <c r="C489" s="112"/>
      <c r="D489" s="119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09"/>
      <c r="AB489" s="109"/>
      <c r="AC489" s="109"/>
      <c r="AD489" s="109"/>
      <c r="AE489" s="109"/>
      <c r="AF489" s="109"/>
      <c r="AG489" s="109"/>
      <c r="AH489" s="109"/>
      <c r="AI489" s="109"/>
    </row>
    <row r="490">
      <c r="A490" s="112"/>
      <c r="B490" s="112"/>
      <c r="C490" s="112"/>
      <c r="D490" s="119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09"/>
      <c r="AB490" s="109"/>
      <c r="AC490" s="109"/>
      <c r="AD490" s="109"/>
      <c r="AE490" s="109"/>
      <c r="AF490" s="109"/>
      <c r="AG490" s="109"/>
      <c r="AH490" s="109"/>
      <c r="AI490" s="109"/>
    </row>
    <row r="491">
      <c r="A491" s="112"/>
      <c r="B491" s="112"/>
      <c r="C491" s="112"/>
      <c r="D491" s="119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09"/>
      <c r="AB491" s="109"/>
      <c r="AC491" s="109"/>
      <c r="AD491" s="109"/>
      <c r="AE491" s="109"/>
      <c r="AF491" s="109"/>
      <c r="AG491" s="109"/>
      <c r="AH491" s="109"/>
      <c r="AI491" s="109"/>
    </row>
    <row r="492">
      <c r="A492" s="112"/>
      <c r="B492" s="112"/>
      <c r="C492" s="112"/>
      <c r="D492" s="119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09"/>
      <c r="AB492" s="109"/>
      <c r="AC492" s="109"/>
      <c r="AD492" s="109"/>
      <c r="AE492" s="109"/>
      <c r="AF492" s="109"/>
      <c r="AG492" s="109"/>
      <c r="AH492" s="109"/>
      <c r="AI492" s="109"/>
    </row>
    <row r="493">
      <c r="A493" s="112"/>
      <c r="B493" s="112"/>
      <c r="C493" s="112"/>
      <c r="D493" s="119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09"/>
      <c r="AB493" s="109"/>
      <c r="AC493" s="109"/>
      <c r="AD493" s="109"/>
      <c r="AE493" s="109"/>
      <c r="AF493" s="109"/>
      <c r="AG493" s="109"/>
      <c r="AH493" s="109"/>
      <c r="AI493" s="109"/>
    </row>
    <row r="494">
      <c r="A494" s="112"/>
      <c r="B494" s="112"/>
      <c r="C494" s="112"/>
      <c r="D494" s="119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09"/>
      <c r="AB494" s="109"/>
      <c r="AC494" s="109"/>
      <c r="AD494" s="109"/>
      <c r="AE494" s="109"/>
      <c r="AF494" s="109"/>
      <c r="AG494" s="109"/>
      <c r="AH494" s="109"/>
      <c r="AI494" s="109"/>
    </row>
    <row r="495">
      <c r="A495" s="112"/>
      <c r="B495" s="112"/>
      <c r="C495" s="112"/>
      <c r="D495" s="119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09"/>
      <c r="AB495" s="109"/>
      <c r="AC495" s="109"/>
      <c r="AD495" s="109"/>
      <c r="AE495" s="109"/>
      <c r="AF495" s="109"/>
      <c r="AG495" s="109"/>
      <c r="AH495" s="109"/>
      <c r="AI495" s="109"/>
    </row>
    <row r="496">
      <c r="A496" s="112"/>
      <c r="B496" s="112"/>
      <c r="C496" s="112"/>
      <c r="D496" s="119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09"/>
      <c r="AB496" s="109"/>
      <c r="AC496" s="109"/>
      <c r="AD496" s="109"/>
      <c r="AE496" s="109"/>
      <c r="AF496" s="109"/>
      <c r="AG496" s="109"/>
      <c r="AH496" s="109"/>
      <c r="AI496" s="109"/>
    </row>
    <row r="497">
      <c r="A497" s="112"/>
      <c r="B497" s="112"/>
      <c r="C497" s="112"/>
      <c r="D497" s="119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09"/>
      <c r="AB497" s="109"/>
      <c r="AC497" s="109"/>
      <c r="AD497" s="109"/>
      <c r="AE497" s="109"/>
      <c r="AF497" s="109"/>
      <c r="AG497" s="109"/>
      <c r="AH497" s="109"/>
      <c r="AI497" s="109"/>
    </row>
    <row r="498">
      <c r="A498" s="112"/>
      <c r="B498" s="112"/>
      <c r="C498" s="112"/>
      <c r="D498" s="119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09"/>
      <c r="AB498" s="109"/>
      <c r="AC498" s="109"/>
      <c r="AD498" s="109"/>
      <c r="AE498" s="109"/>
      <c r="AF498" s="109"/>
      <c r="AG498" s="109"/>
      <c r="AH498" s="109"/>
      <c r="AI498" s="109"/>
    </row>
    <row r="499">
      <c r="A499" s="112"/>
      <c r="B499" s="112"/>
      <c r="C499" s="112"/>
      <c r="D499" s="119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09"/>
      <c r="AB499" s="109"/>
      <c r="AC499" s="109"/>
      <c r="AD499" s="109"/>
      <c r="AE499" s="109"/>
      <c r="AF499" s="109"/>
      <c r="AG499" s="109"/>
      <c r="AH499" s="109"/>
      <c r="AI499" s="109"/>
    </row>
    <row r="500">
      <c r="A500" s="112"/>
      <c r="B500" s="112"/>
      <c r="C500" s="112"/>
      <c r="D500" s="119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09"/>
      <c r="AB500" s="109"/>
      <c r="AC500" s="109"/>
      <c r="AD500" s="109"/>
      <c r="AE500" s="109"/>
      <c r="AF500" s="109"/>
      <c r="AG500" s="109"/>
      <c r="AH500" s="109"/>
      <c r="AI500" s="109"/>
    </row>
    <row r="501">
      <c r="A501" s="112"/>
      <c r="B501" s="112"/>
      <c r="C501" s="112"/>
      <c r="D501" s="119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  <c r="AA501" s="109"/>
      <c r="AB501" s="109"/>
      <c r="AC501" s="109"/>
      <c r="AD501" s="109"/>
      <c r="AE501" s="109"/>
      <c r="AF501" s="109"/>
      <c r="AG501" s="109"/>
      <c r="AH501" s="109"/>
      <c r="AI501" s="109"/>
    </row>
    <row r="502">
      <c r="A502" s="112"/>
      <c r="B502" s="112"/>
      <c r="C502" s="112"/>
      <c r="D502" s="119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09"/>
      <c r="AB502" s="109"/>
      <c r="AC502" s="109"/>
      <c r="AD502" s="109"/>
      <c r="AE502" s="109"/>
      <c r="AF502" s="109"/>
      <c r="AG502" s="109"/>
      <c r="AH502" s="109"/>
      <c r="AI502" s="109"/>
    </row>
    <row r="503">
      <c r="A503" s="112"/>
      <c r="B503" s="112"/>
      <c r="C503" s="112"/>
      <c r="D503" s="119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  <c r="AA503" s="109"/>
      <c r="AB503" s="109"/>
      <c r="AC503" s="109"/>
      <c r="AD503" s="109"/>
      <c r="AE503" s="109"/>
      <c r="AF503" s="109"/>
      <c r="AG503" s="109"/>
      <c r="AH503" s="109"/>
      <c r="AI503" s="109"/>
    </row>
    <row r="504">
      <c r="A504" s="112"/>
      <c r="B504" s="112"/>
      <c r="C504" s="112"/>
      <c r="D504" s="119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  <c r="AA504" s="109"/>
      <c r="AB504" s="109"/>
      <c r="AC504" s="109"/>
      <c r="AD504" s="109"/>
      <c r="AE504" s="109"/>
      <c r="AF504" s="109"/>
      <c r="AG504" s="109"/>
      <c r="AH504" s="109"/>
      <c r="AI504" s="109"/>
    </row>
    <row r="505">
      <c r="A505" s="112"/>
      <c r="B505" s="112"/>
      <c r="C505" s="112"/>
      <c r="D505" s="119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  <c r="AA505" s="109"/>
      <c r="AB505" s="109"/>
      <c r="AC505" s="109"/>
      <c r="AD505" s="109"/>
      <c r="AE505" s="109"/>
      <c r="AF505" s="109"/>
      <c r="AG505" s="109"/>
      <c r="AH505" s="109"/>
      <c r="AI505" s="109"/>
    </row>
    <row r="506">
      <c r="A506" s="112"/>
      <c r="B506" s="112"/>
      <c r="C506" s="112"/>
      <c r="D506" s="119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  <c r="AA506" s="109"/>
      <c r="AB506" s="109"/>
      <c r="AC506" s="109"/>
      <c r="AD506" s="109"/>
      <c r="AE506" s="109"/>
      <c r="AF506" s="109"/>
      <c r="AG506" s="109"/>
      <c r="AH506" s="109"/>
      <c r="AI506" s="109"/>
    </row>
    <row r="507">
      <c r="A507" s="112"/>
      <c r="B507" s="112"/>
      <c r="C507" s="112"/>
      <c r="D507" s="119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  <c r="AA507" s="109"/>
      <c r="AB507" s="109"/>
      <c r="AC507" s="109"/>
      <c r="AD507" s="109"/>
      <c r="AE507" s="109"/>
      <c r="AF507" s="109"/>
      <c r="AG507" s="109"/>
      <c r="AH507" s="109"/>
      <c r="AI507" s="109"/>
    </row>
    <row r="508">
      <c r="A508" s="112"/>
      <c r="B508" s="112"/>
      <c r="C508" s="112"/>
      <c r="D508" s="119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09"/>
      <c r="AB508" s="109"/>
      <c r="AC508" s="109"/>
      <c r="AD508" s="109"/>
      <c r="AE508" s="109"/>
      <c r="AF508" s="109"/>
      <c r="AG508" s="109"/>
      <c r="AH508" s="109"/>
      <c r="AI508" s="109"/>
    </row>
    <row r="509">
      <c r="A509" s="112"/>
      <c r="B509" s="112"/>
      <c r="C509" s="112"/>
      <c r="D509" s="119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09"/>
      <c r="AB509" s="109"/>
      <c r="AC509" s="109"/>
      <c r="AD509" s="109"/>
      <c r="AE509" s="109"/>
      <c r="AF509" s="109"/>
      <c r="AG509" s="109"/>
      <c r="AH509" s="109"/>
      <c r="AI509" s="109"/>
    </row>
    <row r="510">
      <c r="A510" s="112"/>
      <c r="B510" s="112"/>
      <c r="C510" s="112"/>
      <c r="D510" s="119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09"/>
      <c r="AB510" s="109"/>
      <c r="AC510" s="109"/>
      <c r="AD510" s="109"/>
      <c r="AE510" s="109"/>
      <c r="AF510" s="109"/>
      <c r="AG510" s="109"/>
      <c r="AH510" s="109"/>
      <c r="AI510" s="109"/>
    </row>
    <row r="511">
      <c r="A511" s="112"/>
      <c r="B511" s="112"/>
      <c r="C511" s="112"/>
      <c r="D511" s="119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  <c r="AA511" s="109"/>
      <c r="AB511" s="109"/>
      <c r="AC511" s="109"/>
      <c r="AD511" s="109"/>
      <c r="AE511" s="109"/>
      <c r="AF511" s="109"/>
      <c r="AG511" s="109"/>
      <c r="AH511" s="109"/>
      <c r="AI511" s="109"/>
    </row>
    <row r="512">
      <c r="A512" s="112"/>
      <c r="B512" s="112"/>
      <c r="C512" s="112"/>
      <c r="D512" s="119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  <c r="AA512" s="109"/>
      <c r="AB512" s="109"/>
      <c r="AC512" s="109"/>
      <c r="AD512" s="109"/>
      <c r="AE512" s="109"/>
      <c r="AF512" s="109"/>
      <c r="AG512" s="109"/>
      <c r="AH512" s="109"/>
      <c r="AI512" s="109"/>
    </row>
    <row r="513">
      <c r="A513" s="112"/>
      <c r="B513" s="112"/>
      <c r="C513" s="112"/>
      <c r="D513" s="119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  <c r="AA513" s="109"/>
      <c r="AB513" s="109"/>
      <c r="AC513" s="109"/>
      <c r="AD513" s="109"/>
      <c r="AE513" s="109"/>
      <c r="AF513" s="109"/>
      <c r="AG513" s="109"/>
      <c r="AH513" s="109"/>
      <c r="AI513" s="109"/>
    </row>
    <row r="514">
      <c r="A514" s="112"/>
      <c r="B514" s="112"/>
      <c r="C514" s="112"/>
      <c r="D514" s="119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  <c r="AA514" s="109"/>
      <c r="AB514" s="109"/>
      <c r="AC514" s="109"/>
      <c r="AD514" s="109"/>
      <c r="AE514" s="109"/>
      <c r="AF514" s="109"/>
      <c r="AG514" s="109"/>
      <c r="AH514" s="109"/>
      <c r="AI514" s="109"/>
    </row>
    <row r="515">
      <c r="A515" s="112"/>
      <c r="B515" s="112"/>
      <c r="C515" s="112"/>
      <c r="D515" s="119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  <c r="AA515" s="109"/>
      <c r="AB515" s="109"/>
      <c r="AC515" s="109"/>
      <c r="AD515" s="109"/>
      <c r="AE515" s="109"/>
      <c r="AF515" s="109"/>
      <c r="AG515" s="109"/>
      <c r="AH515" s="109"/>
      <c r="AI515" s="109"/>
    </row>
    <row r="516">
      <c r="A516" s="112"/>
      <c r="B516" s="112"/>
      <c r="C516" s="112"/>
      <c r="D516" s="119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  <c r="AA516" s="109"/>
      <c r="AB516" s="109"/>
      <c r="AC516" s="109"/>
      <c r="AD516" s="109"/>
      <c r="AE516" s="109"/>
      <c r="AF516" s="109"/>
      <c r="AG516" s="109"/>
      <c r="AH516" s="109"/>
      <c r="AI516" s="109"/>
    </row>
    <row r="517">
      <c r="A517" s="112"/>
      <c r="B517" s="112"/>
      <c r="C517" s="112"/>
      <c r="D517" s="119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09"/>
      <c r="AB517" s="109"/>
      <c r="AC517" s="109"/>
      <c r="AD517" s="109"/>
      <c r="AE517" s="109"/>
      <c r="AF517" s="109"/>
      <c r="AG517" s="109"/>
      <c r="AH517" s="109"/>
      <c r="AI517" s="109"/>
    </row>
    <row r="518">
      <c r="A518" s="112"/>
      <c r="B518" s="112"/>
      <c r="C518" s="112"/>
      <c r="D518" s="119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09"/>
      <c r="AB518" s="109"/>
      <c r="AC518" s="109"/>
      <c r="AD518" s="109"/>
      <c r="AE518" s="109"/>
      <c r="AF518" s="109"/>
      <c r="AG518" s="109"/>
      <c r="AH518" s="109"/>
      <c r="AI518" s="109"/>
    </row>
    <row r="519">
      <c r="A519" s="112"/>
      <c r="B519" s="112"/>
      <c r="C519" s="112"/>
      <c r="D519" s="119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09"/>
      <c r="AB519" s="109"/>
      <c r="AC519" s="109"/>
      <c r="AD519" s="109"/>
      <c r="AE519" s="109"/>
      <c r="AF519" s="109"/>
      <c r="AG519" s="109"/>
      <c r="AH519" s="109"/>
      <c r="AI519" s="109"/>
    </row>
    <row r="520">
      <c r="A520" s="112"/>
      <c r="B520" s="112"/>
      <c r="C520" s="112"/>
      <c r="D520" s="119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  <c r="AA520" s="109"/>
      <c r="AB520" s="109"/>
      <c r="AC520" s="109"/>
      <c r="AD520" s="109"/>
      <c r="AE520" s="109"/>
      <c r="AF520" s="109"/>
      <c r="AG520" s="109"/>
      <c r="AH520" s="109"/>
      <c r="AI520" s="109"/>
    </row>
    <row r="521">
      <c r="A521" s="112"/>
      <c r="B521" s="112"/>
      <c r="C521" s="112"/>
      <c r="D521" s="119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  <c r="AA521" s="109"/>
      <c r="AB521" s="109"/>
      <c r="AC521" s="109"/>
      <c r="AD521" s="109"/>
      <c r="AE521" s="109"/>
      <c r="AF521" s="109"/>
      <c r="AG521" s="109"/>
      <c r="AH521" s="109"/>
      <c r="AI521" s="109"/>
    </row>
    <row r="522">
      <c r="A522" s="112"/>
      <c r="B522" s="112"/>
      <c r="C522" s="112"/>
      <c r="D522" s="119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  <c r="AA522" s="109"/>
      <c r="AB522" s="109"/>
      <c r="AC522" s="109"/>
      <c r="AD522" s="109"/>
      <c r="AE522" s="109"/>
      <c r="AF522" s="109"/>
      <c r="AG522" s="109"/>
      <c r="AH522" s="109"/>
      <c r="AI522" s="109"/>
    </row>
    <row r="523">
      <c r="A523" s="112"/>
      <c r="B523" s="112"/>
      <c r="C523" s="112"/>
      <c r="D523" s="119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  <c r="AA523" s="109"/>
      <c r="AB523" s="109"/>
      <c r="AC523" s="109"/>
      <c r="AD523" s="109"/>
      <c r="AE523" s="109"/>
      <c r="AF523" s="109"/>
      <c r="AG523" s="109"/>
      <c r="AH523" s="109"/>
      <c r="AI523" s="109"/>
    </row>
    <row r="524">
      <c r="A524" s="112"/>
      <c r="B524" s="112"/>
      <c r="C524" s="112"/>
      <c r="D524" s="119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  <c r="AA524" s="109"/>
      <c r="AB524" s="109"/>
      <c r="AC524" s="109"/>
      <c r="AD524" s="109"/>
      <c r="AE524" s="109"/>
      <c r="AF524" s="109"/>
      <c r="AG524" s="109"/>
      <c r="AH524" s="109"/>
      <c r="AI524" s="109"/>
    </row>
    <row r="525">
      <c r="A525" s="112"/>
      <c r="B525" s="112"/>
      <c r="C525" s="112"/>
      <c r="D525" s="119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  <c r="AA525" s="109"/>
      <c r="AB525" s="109"/>
      <c r="AC525" s="109"/>
      <c r="AD525" s="109"/>
      <c r="AE525" s="109"/>
      <c r="AF525" s="109"/>
      <c r="AG525" s="109"/>
      <c r="AH525" s="109"/>
      <c r="AI525" s="109"/>
    </row>
    <row r="526">
      <c r="A526" s="112"/>
      <c r="B526" s="112"/>
      <c r="C526" s="112"/>
      <c r="D526" s="119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  <c r="AA526" s="109"/>
      <c r="AB526" s="109"/>
      <c r="AC526" s="109"/>
      <c r="AD526" s="109"/>
      <c r="AE526" s="109"/>
      <c r="AF526" s="109"/>
      <c r="AG526" s="109"/>
      <c r="AH526" s="109"/>
      <c r="AI526" s="109"/>
    </row>
    <row r="527">
      <c r="A527" s="112"/>
      <c r="B527" s="112"/>
      <c r="C527" s="112"/>
      <c r="D527" s="119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  <c r="AA527" s="109"/>
      <c r="AB527" s="109"/>
      <c r="AC527" s="109"/>
      <c r="AD527" s="109"/>
      <c r="AE527" s="109"/>
      <c r="AF527" s="109"/>
      <c r="AG527" s="109"/>
      <c r="AH527" s="109"/>
      <c r="AI527" s="109"/>
    </row>
    <row r="528">
      <c r="A528" s="112"/>
      <c r="B528" s="112"/>
      <c r="C528" s="112"/>
      <c r="D528" s="119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  <c r="AA528" s="109"/>
      <c r="AB528" s="109"/>
      <c r="AC528" s="109"/>
      <c r="AD528" s="109"/>
      <c r="AE528" s="109"/>
      <c r="AF528" s="109"/>
      <c r="AG528" s="109"/>
      <c r="AH528" s="109"/>
      <c r="AI528" s="109"/>
    </row>
    <row r="529">
      <c r="A529" s="112"/>
      <c r="B529" s="112"/>
      <c r="C529" s="112"/>
      <c r="D529" s="119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  <c r="AA529" s="109"/>
      <c r="AB529" s="109"/>
      <c r="AC529" s="109"/>
      <c r="AD529" s="109"/>
      <c r="AE529" s="109"/>
      <c r="AF529" s="109"/>
      <c r="AG529" s="109"/>
      <c r="AH529" s="109"/>
      <c r="AI529" s="109"/>
    </row>
    <row r="530">
      <c r="A530" s="112"/>
      <c r="B530" s="112"/>
      <c r="C530" s="112"/>
      <c r="D530" s="119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09"/>
      <c r="AB530" s="109"/>
      <c r="AC530" s="109"/>
      <c r="AD530" s="109"/>
      <c r="AE530" s="109"/>
      <c r="AF530" s="109"/>
      <c r="AG530" s="109"/>
      <c r="AH530" s="109"/>
      <c r="AI530" s="109"/>
    </row>
    <row r="531">
      <c r="A531" s="112"/>
      <c r="B531" s="112"/>
      <c r="C531" s="112"/>
      <c r="D531" s="119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  <c r="AA531" s="109"/>
      <c r="AB531" s="109"/>
      <c r="AC531" s="109"/>
      <c r="AD531" s="109"/>
      <c r="AE531" s="109"/>
      <c r="AF531" s="109"/>
      <c r="AG531" s="109"/>
      <c r="AH531" s="109"/>
      <c r="AI531" s="109"/>
    </row>
    <row r="532">
      <c r="A532" s="112"/>
      <c r="B532" s="112"/>
      <c r="C532" s="112"/>
      <c r="D532" s="119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09"/>
      <c r="AB532" s="109"/>
      <c r="AC532" s="109"/>
      <c r="AD532" s="109"/>
      <c r="AE532" s="109"/>
      <c r="AF532" s="109"/>
      <c r="AG532" s="109"/>
      <c r="AH532" s="109"/>
      <c r="AI532" s="109"/>
    </row>
    <row r="533">
      <c r="A533" s="112"/>
      <c r="B533" s="112"/>
      <c r="C533" s="112"/>
      <c r="D533" s="119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  <c r="AA533" s="109"/>
      <c r="AB533" s="109"/>
      <c r="AC533" s="109"/>
      <c r="AD533" s="109"/>
      <c r="AE533" s="109"/>
      <c r="AF533" s="109"/>
      <c r="AG533" s="109"/>
      <c r="AH533" s="109"/>
      <c r="AI533" s="109"/>
    </row>
    <row r="534">
      <c r="A534" s="112"/>
      <c r="B534" s="112"/>
      <c r="C534" s="112"/>
      <c r="D534" s="119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  <c r="AA534" s="109"/>
      <c r="AB534" s="109"/>
      <c r="AC534" s="109"/>
      <c r="AD534" s="109"/>
      <c r="AE534" s="109"/>
      <c r="AF534" s="109"/>
      <c r="AG534" s="109"/>
      <c r="AH534" s="109"/>
      <c r="AI534" s="109"/>
    </row>
    <row r="535">
      <c r="A535" s="112"/>
      <c r="B535" s="112"/>
      <c r="C535" s="112"/>
      <c r="D535" s="119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09"/>
      <c r="AB535" s="109"/>
      <c r="AC535" s="109"/>
      <c r="AD535" s="109"/>
      <c r="AE535" s="109"/>
      <c r="AF535" s="109"/>
      <c r="AG535" s="109"/>
      <c r="AH535" s="109"/>
      <c r="AI535" s="109"/>
    </row>
    <row r="536">
      <c r="A536" s="112"/>
      <c r="B536" s="112"/>
      <c r="C536" s="112"/>
      <c r="D536" s="119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  <c r="AA536" s="109"/>
      <c r="AB536" s="109"/>
      <c r="AC536" s="109"/>
      <c r="AD536" s="109"/>
      <c r="AE536" s="109"/>
      <c r="AF536" s="109"/>
      <c r="AG536" s="109"/>
      <c r="AH536" s="109"/>
      <c r="AI536" s="109"/>
    </row>
    <row r="537">
      <c r="A537" s="112"/>
      <c r="B537" s="112"/>
      <c r="C537" s="112"/>
      <c r="D537" s="119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  <c r="AA537" s="109"/>
      <c r="AB537" s="109"/>
      <c r="AC537" s="109"/>
      <c r="AD537" s="109"/>
      <c r="AE537" s="109"/>
      <c r="AF537" s="109"/>
      <c r="AG537" s="109"/>
      <c r="AH537" s="109"/>
      <c r="AI537" s="109"/>
    </row>
    <row r="538">
      <c r="A538" s="112"/>
      <c r="B538" s="112"/>
      <c r="C538" s="112"/>
      <c r="D538" s="119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  <c r="AA538" s="109"/>
      <c r="AB538" s="109"/>
      <c r="AC538" s="109"/>
      <c r="AD538" s="109"/>
      <c r="AE538" s="109"/>
      <c r="AF538" s="109"/>
      <c r="AG538" s="109"/>
      <c r="AH538" s="109"/>
      <c r="AI538" s="109"/>
    </row>
    <row r="539">
      <c r="A539" s="112"/>
      <c r="B539" s="112"/>
      <c r="C539" s="112"/>
      <c r="D539" s="119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  <c r="AA539" s="109"/>
      <c r="AB539" s="109"/>
      <c r="AC539" s="109"/>
      <c r="AD539" s="109"/>
      <c r="AE539" s="109"/>
      <c r="AF539" s="109"/>
      <c r="AG539" s="109"/>
      <c r="AH539" s="109"/>
      <c r="AI539" s="109"/>
    </row>
    <row r="540">
      <c r="A540" s="112"/>
      <c r="B540" s="112"/>
      <c r="C540" s="112"/>
      <c r="D540" s="119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  <c r="AA540" s="109"/>
      <c r="AB540" s="109"/>
      <c r="AC540" s="109"/>
      <c r="AD540" s="109"/>
      <c r="AE540" s="109"/>
      <c r="AF540" s="109"/>
      <c r="AG540" s="109"/>
      <c r="AH540" s="109"/>
      <c r="AI540" s="109"/>
    </row>
    <row r="541">
      <c r="A541" s="112"/>
      <c r="B541" s="112"/>
      <c r="C541" s="112"/>
      <c r="D541" s="119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  <c r="AA541" s="109"/>
      <c r="AB541" s="109"/>
      <c r="AC541" s="109"/>
      <c r="AD541" s="109"/>
      <c r="AE541" s="109"/>
      <c r="AF541" s="109"/>
      <c r="AG541" s="109"/>
      <c r="AH541" s="109"/>
      <c r="AI541" s="109"/>
    </row>
    <row r="542">
      <c r="A542" s="112"/>
      <c r="B542" s="112"/>
      <c r="C542" s="112"/>
      <c r="D542" s="119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  <c r="AA542" s="109"/>
      <c r="AB542" s="109"/>
      <c r="AC542" s="109"/>
      <c r="AD542" s="109"/>
      <c r="AE542" s="109"/>
      <c r="AF542" s="109"/>
      <c r="AG542" s="109"/>
      <c r="AH542" s="109"/>
      <c r="AI542" s="109"/>
    </row>
    <row r="543">
      <c r="A543" s="112"/>
      <c r="B543" s="112"/>
      <c r="C543" s="112"/>
      <c r="D543" s="119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  <c r="AA543" s="109"/>
      <c r="AB543" s="109"/>
      <c r="AC543" s="109"/>
      <c r="AD543" s="109"/>
      <c r="AE543" s="109"/>
      <c r="AF543" s="109"/>
      <c r="AG543" s="109"/>
      <c r="AH543" s="109"/>
      <c r="AI543" s="109"/>
    </row>
    <row r="544">
      <c r="A544" s="112"/>
      <c r="B544" s="112"/>
      <c r="C544" s="112"/>
      <c r="D544" s="119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  <c r="AA544" s="109"/>
      <c r="AB544" s="109"/>
      <c r="AC544" s="109"/>
      <c r="AD544" s="109"/>
      <c r="AE544" s="109"/>
      <c r="AF544" s="109"/>
      <c r="AG544" s="109"/>
      <c r="AH544" s="109"/>
      <c r="AI544" s="109"/>
    </row>
    <row r="545">
      <c r="A545" s="112"/>
      <c r="B545" s="112"/>
      <c r="C545" s="112"/>
      <c r="D545" s="119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  <c r="AA545" s="109"/>
      <c r="AB545" s="109"/>
      <c r="AC545" s="109"/>
      <c r="AD545" s="109"/>
      <c r="AE545" s="109"/>
      <c r="AF545" s="109"/>
      <c r="AG545" s="109"/>
      <c r="AH545" s="109"/>
      <c r="AI545" s="109"/>
    </row>
    <row r="546">
      <c r="A546" s="112"/>
      <c r="B546" s="112"/>
      <c r="C546" s="112"/>
      <c r="D546" s="119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  <c r="AA546" s="109"/>
      <c r="AB546" s="109"/>
      <c r="AC546" s="109"/>
      <c r="AD546" s="109"/>
      <c r="AE546" s="109"/>
      <c r="AF546" s="109"/>
      <c r="AG546" s="109"/>
      <c r="AH546" s="109"/>
      <c r="AI546" s="109"/>
    </row>
    <row r="547">
      <c r="A547" s="112"/>
      <c r="B547" s="112"/>
      <c r="C547" s="112"/>
      <c r="D547" s="119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  <c r="AA547" s="109"/>
      <c r="AB547" s="109"/>
      <c r="AC547" s="109"/>
      <c r="AD547" s="109"/>
      <c r="AE547" s="109"/>
      <c r="AF547" s="109"/>
      <c r="AG547" s="109"/>
      <c r="AH547" s="109"/>
      <c r="AI547" s="109"/>
    </row>
    <row r="548">
      <c r="A548" s="112"/>
      <c r="B548" s="112"/>
      <c r="C548" s="112"/>
      <c r="D548" s="119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  <c r="AA548" s="109"/>
      <c r="AB548" s="109"/>
      <c r="AC548" s="109"/>
      <c r="AD548" s="109"/>
      <c r="AE548" s="109"/>
      <c r="AF548" s="109"/>
      <c r="AG548" s="109"/>
      <c r="AH548" s="109"/>
      <c r="AI548" s="109"/>
    </row>
    <row r="549">
      <c r="A549" s="112"/>
      <c r="B549" s="112"/>
      <c r="C549" s="112"/>
      <c r="D549" s="119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09"/>
      <c r="AB549" s="109"/>
      <c r="AC549" s="109"/>
      <c r="AD549" s="109"/>
      <c r="AE549" s="109"/>
      <c r="AF549" s="109"/>
      <c r="AG549" s="109"/>
      <c r="AH549" s="109"/>
      <c r="AI549" s="109"/>
    </row>
    <row r="550">
      <c r="A550" s="112"/>
      <c r="B550" s="112"/>
      <c r="C550" s="112"/>
      <c r="D550" s="119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  <c r="AA550" s="109"/>
      <c r="AB550" s="109"/>
      <c r="AC550" s="109"/>
      <c r="AD550" s="109"/>
      <c r="AE550" s="109"/>
      <c r="AF550" s="109"/>
      <c r="AG550" s="109"/>
      <c r="AH550" s="109"/>
      <c r="AI550" s="109"/>
    </row>
    <row r="551">
      <c r="A551" s="112"/>
      <c r="B551" s="112"/>
      <c r="C551" s="112"/>
      <c r="D551" s="119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  <c r="AA551" s="109"/>
      <c r="AB551" s="109"/>
      <c r="AC551" s="109"/>
      <c r="AD551" s="109"/>
      <c r="AE551" s="109"/>
      <c r="AF551" s="109"/>
      <c r="AG551" s="109"/>
      <c r="AH551" s="109"/>
      <c r="AI551" s="109"/>
    </row>
    <row r="552">
      <c r="A552" s="112"/>
      <c r="B552" s="112"/>
      <c r="C552" s="112"/>
      <c r="D552" s="119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  <c r="AA552" s="109"/>
      <c r="AB552" s="109"/>
      <c r="AC552" s="109"/>
      <c r="AD552" s="109"/>
      <c r="AE552" s="109"/>
      <c r="AF552" s="109"/>
      <c r="AG552" s="109"/>
      <c r="AH552" s="109"/>
      <c r="AI552" s="109"/>
    </row>
    <row r="553">
      <c r="A553" s="112"/>
      <c r="B553" s="112"/>
      <c r="C553" s="112"/>
      <c r="D553" s="119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  <c r="AA553" s="109"/>
      <c r="AB553" s="109"/>
      <c r="AC553" s="109"/>
      <c r="AD553" s="109"/>
      <c r="AE553" s="109"/>
      <c r="AF553" s="109"/>
      <c r="AG553" s="109"/>
      <c r="AH553" s="109"/>
      <c r="AI553" s="109"/>
    </row>
    <row r="554">
      <c r="A554" s="112"/>
      <c r="B554" s="112"/>
      <c r="C554" s="112"/>
      <c r="D554" s="119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  <c r="AA554" s="109"/>
      <c r="AB554" s="109"/>
      <c r="AC554" s="109"/>
      <c r="AD554" s="109"/>
      <c r="AE554" s="109"/>
      <c r="AF554" s="109"/>
      <c r="AG554" s="109"/>
      <c r="AH554" s="109"/>
      <c r="AI554" s="109"/>
    </row>
    <row r="555">
      <c r="A555" s="112"/>
      <c r="B555" s="112"/>
      <c r="C555" s="112"/>
      <c r="D555" s="119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  <c r="AA555" s="109"/>
      <c r="AB555" s="109"/>
      <c r="AC555" s="109"/>
      <c r="AD555" s="109"/>
      <c r="AE555" s="109"/>
      <c r="AF555" s="109"/>
      <c r="AG555" s="109"/>
      <c r="AH555" s="109"/>
      <c r="AI555" s="109"/>
    </row>
    <row r="556">
      <c r="A556" s="112"/>
      <c r="B556" s="112"/>
      <c r="C556" s="112"/>
      <c r="D556" s="119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09"/>
      <c r="AB556" s="109"/>
      <c r="AC556" s="109"/>
      <c r="AD556" s="109"/>
      <c r="AE556" s="109"/>
      <c r="AF556" s="109"/>
      <c r="AG556" s="109"/>
      <c r="AH556" s="109"/>
      <c r="AI556" s="109"/>
    </row>
    <row r="557">
      <c r="A557" s="112"/>
      <c r="B557" s="112"/>
      <c r="C557" s="112"/>
      <c r="D557" s="119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09"/>
      <c r="AB557" s="109"/>
      <c r="AC557" s="109"/>
      <c r="AD557" s="109"/>
      <c r="AE557" s="109"/>
      <c r="AF557" s="109"/>
      <c r="AG557" s="109"/>
      <c r="AH557" s="109"/>
      <c r="AI557" s="109"/>
    </row>
    <row r="558">
      <c r="A558" s="112"/>
      <c r="B558" s="112"/>
      <c r="C558" s="112"/>
      <c r="D558" s="119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09"/>
      <c r="AB558" s="109"/>
      <c r="AC558" s="109"/>
      <c r="AD558" s="109"/>
      <c r="AE558" s="109"/>
      <c r="AF558" s="109"/>
      <c r="AG558" s="109"/>
      <c r="AH558" s="109"/>
      <c r="AI558" s="109"/>
    </row>
    <row r="559">
      <c r="A559" s="112"/>
      <c r="B559" s="112"/>
      <c r="C559" s="112"/>
      <c r="D559" s="119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09"/>
      <c r="AB559" s="109"/>
      <c r="AC559" s="109"/>
      <c r="AD559" s="109"/>
      <c r="AE559" s="109"/>
      <c r="AF559" s="109"/>
      <c r="AG559" s="109"/>
      <c r="AH559" s="109"/>
      <c r="AI559" s="109"/>
    </row>
    <row r="560">
      <c r="A560" s="112"/>
      <c r="B560" s="112"/>
      <c r="C560" s="112"/>
      <c r="D560" s="119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09"/>
      <c r="AB560" s="109"/>
      <c r="AC560" s="109"/>
      <c r="AD560" s="109"/>
      <c r="AE560" s="109"/>
      <c r="AF560" s="109"/>
      <c r="AG560" s="109"/>
      <c r="AH560" s="109"/>
      <c r="AI560" s="109"/>
    </row>
    <row r="561">
      <c r="A561" s="112"/>
      <c r="B561" s="112"/>
      <c r="C561" s="112"/>
      <c r="D561" s="119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09"/>
      <c r="AB561" s="109"/>
      <c r="AC561" s="109"/>
      <c r="AD561" s="109"/>
      <c r="AE561" s="109"/>
      <c r="AF561" s="109"/>
      <c r="AG561" s="109"/>
      <c r="AH561" s="109"/>
      <c r="AI561" s="109"/>
    </row>
    <row r="562">
      <c r="A562" s="112"/>
      <c r="B562" s="112"/>
      <c r="C562" s="112"/>
      <c r="D562" s="119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09"/>
      <c r="AB562" s="109"/>
      <c r="AC562" s="109"/>
      <c r="AD562" s="109"/>
      <c r="AE562" s="109"/>
      <c r="AF562" s="109"/>
      <c r="AG562" s="109"/>
      <c r="AH562" s="109"/>
      <c r="AI562" s="109"/>
    </row>
    <row r="563">
      <c r="A563" s="112"/>
      <c r="B563" s="112"/>
      <c r="C563" s="112"/>
      <c r="D563" s="119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09"/>
      <c r="AB563" s="109"/>
      <c r="AC563" s="109"/>
      <c r="AD563" s="109"/>
      <c r="AE563" s="109"/>
      <c r="AF563" s="109"/>
      <c r="AG563" s="109"/>
      <c r="AH563" s="109"/>
      <c r="AI563" s="109"/>
    </row>
    <row r="564">
      <c r="A564" s="112"/>
      <c r="B564" s="112"/>
      <c r="C564" s="112"/>
      <c r="D564" s="119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09"/>
      <c r="AB564" s="109"/>
      <c r="AC564" s="109"/>
      <c r="AD564" s="109"/>
      <c r="AE564" s="109"/>
      <c r="AF564" s="109"/>
      <c r="AG564" s="109"/>
      <c r="AH564" s="109"/>
      <c r="AI564" s="109"/>
    </row>
    <row r="565">
      <c r="A565" s="112"/>
      <c r="B565" s="112"/>
      <c r="C565" s="112"/>
      <c r="D565" s="119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09"/>
      <c r="AB565" s="109"/>
      <c r="AC565" s="109"/>
      <c r="AD565" s="109"/>
      <c r="AE565" s="109"/>
      <c r="AF565" s="109"/>
      <c r="AG565" s="109"/>
      <c r="AH565" s="109"/>
      <c r="AI565" s="109"/>
    </row>
    <row r="566">
      <c r="A566" s="112"/>
      <c r="B566" s="112"/>
      <c r="C566" s="112"/>
      <c r="D566" s="119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09"/>
      <c r="AB566" s="109"/>
      <c r="AC566" s="109"/>
      <c r="AD566" s="109"/>
      <c r="AE566" s="109"/>
      <c r="AF566" s="109"/>
      <c r="AG566" s="109"/>
      <c r="AH566" s="109"/>
      <c r="AI566" s="109"/>
    </row>
    <row r="567">
      <c r="A567" s="112"/>
      <c r="B567" s="112"/>
      <c r="C567" s="112"/>
      <c r="D567" s="119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  <c r="AA567" s="109"/>
      <c r="AB567" s="109"/>
      <c r="AC567" s="109"/>
      <c r="AD567" s="109"/>
      <c r="AE567" s="109"/>
      <c r="AF567" s="109"/>
      <c r="AG567" s="109"/>
      <c r="AH567" s="109"/>
      <c r="AI567" s="109"/>
    </row>
    <row r="568">
      <c r="A568" s="112"/>
      <c r="B568" s="112"/>
      <c r="C568" s="112"/>
      <c r="D568" s="119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  <c r="AA568" s="109"/>
      <c r="AB568" s="109"/>
      <c r="AC568" s="109"/>
      <c r="AD568" s="109"/>
      <c r="AE568" s="109"/>
      <c r="AF568" s="109"/>
      <c r="AG568" s="109"/>
      <c r="AH568" s="109"/>
      <c r="AI568" s="109"/>
    </row>
    <row r="569">
      <c r="A569" s="112"/>
      <c r="B569" s="112"/>
      <c r="C569" s="112"/>
      <c r="D569" s="119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09"/>
      <c r="AB569" s="109"/>
      <c r="AC569" s="109"/>
      <c r="AD569" s="109"/>
      <c r="AE569" s="109"/>
      <c r="AF569" s="109"/>
      <c r="AG569" s="109"/>
      <c r="AH569" s="109"/>
      <c r="AI569" s="109"/>
    </row>
    <row r="570">
      <c r="A570" s="112"/>
      <c r="B570" s="112"/>
      <c r="C570" s="112"/>
      <c r="D570" s="119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  <c r="AA570" s="109"/>
      <c r="AB570" s="109"/>
      <c r="AC570" s="109"/>
      <c r="AD570" s="109"/>
      <c r="AE570" s="109"/>
      <c r="AF570" s="109"/>
      <c r="AG570" s="109"/>
      <c r="AH570" s="109"/>
      <c r="AI570" s="109"/>
    </row>
    <row r="571">
      <c r="A571" s="112"/>
      <c r="B571" s="112"/>
      <c r="C571" s="112"/>
      <c r="D571" s="119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  <c r="AA571" s="109"/>
      <c r="AB571" s="109"/>
      <c r="AC571" s="109"/>
      <c r="AD571" s="109"/>
      <c r="AE571" s="109"/>
      <c r="AF571" s="109"/>
      <c r="AG571" s="109"/>
      <c r="AH571" s="109"/>
      <c r="AI571" s="109"/>
    </row>
    <row r="572">
      <c r="A572" s="112"/>
      <c r="B572" s="112"/>
      <c r="C572" s="112"/>
      <c r="D572" s="119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  <c r="AA572" s="109"/>
      <c r="AB572" s="109"/>
      <c r="AC572" s="109"/>
      <c r="AD572" s="109"/>
      <c r="AE572" s="109"/>
      <c r="AF572" s="109"/>
      <c r="AG572" s="109"/>
      <c r="AH572" s="109"/>
      <c r="AI572" s="109"/>
    </row>
    <row r="573">
      <c r="A573" s="112"/>
      <c r="B573" s="112"/>
      <c r="C573" s="112"/>
      <c r="D573" s="119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  <c r="AA573" s="109"/>
      <c r="AB573" s="109"/>
      <c r="AC573" s="109"/>
      <c r="AD573" s="109"/>
      <c r="AE573" s="109"/>
      <c r="AF573" s="109"/>
      <c r="AG573" s="109"/>
      <c r="AH573" s="109"/>
      <c r="AI573" s="109"/>
    </row>
    <row r="574">
      <c r="A574" s="112"/>
      <c r="B574" s="112"/>
      <c r="C574" s="112"/>
      <c r="D574" s="119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09"/>
      <c r="AB574" s="109"/>
      <c r="AC574" s="109"/>
      <c r="AD574" s="109"/>
      <c r="AE574" s="109"/>
      <c r="AF574" s="109"/>
      <c r="AG574" s="109"/>
      <c r="AH574" s="109"/>
      <c r="AI574" s="109"/>
    </row>
    <row r="575">
      <c r="A575" s="112"/>
      <c r="B575" s="112"/>
      <c r="C575" s="112"/>
      <c r="D575" s="119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  <c r="AA575" s="109"/>
      <c r="AB575" s="109"/>
      <c r="AC575" s="109"/>
      <c r="AD575" s="109"/>
      <c r="AE575" s="109"/>
      <c r="AF575" s="109"/>
      <c r="AG575" s="109"/>
      <c r="AH575" s="109"/>
      <c r="AI575" s="109"/>
    </row>
    <row r="576">
      <c r="A576" s="112"/>
      <c r="B576" s="112"/>
      <c r="C576" s="112"/>
      <c r="D576" s="119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  <c r="AA576" s="109"/>
      <c r="AB576" s="109"/>
      <c r="AC576" s="109"/>
      <c r="AD576" s="109"/>
      <c r="AE576" s="109"/>
      <c r="AF576" s="109"/>
      <c r="AG576" s="109"/>
      <c r="AH576" s="109"/>
      <c r="AI576" s="109"/>
    </row>
    <row r="577">
      <c r="A577" s="112"/>
      <c r="B577" s="112"/>
      <c r="C577" s="112"/>
      <c r="D577" s="119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  <c r="AA577" s="109"/>
      <c r="AB577" s="109"/>
      <c r="AC577" s="109"/>
      <c r="AD577" s="109"/>
      <c r="AE577" s="109"/>
      <c r="AF577" s="109"/>
      <c r="AG577" s="109"/>
      <c r="AH577" s="109"/>
      <c r="AI577" s="109"/>
    </row>
    <row r="578">
      <c r="A578" s="112"/>
      <c r="B578" s="112"/>
      <c r="C578" s="112"/>
      <c r="D578" s="119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  <c r="AA578" s="109"/>
      <c r="AB578" s="109"/>
      <c r="AC578" s="109"/>
      <c r="AD578" s="109"/>
      <c r="AE578" s="109"/>
      <c r="AF578" s="109"/>
      <c r="AG578" s="109"/>
      <c r="AH578" s="109"/>
      <c r="AI578" s="109"/>
    </row>
    <row r="579">
      <c r="A579" s="112"/>
      <c r="B579" s="112"/>
      <c r="C579" s="112"/>
      <c r="D579" s="119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  <c r="AA579" s="109"/>
      <c r="AB579" s="109"/>
      <c r="AC579" s="109"/>
      <c r="AD579" s="109"/>
      <c r="AE579" s="109"/>
      <c r="AF579" s="109"/>
      <c r="AG579" s="109"/>
      <c r="AH579" s="109"/>
      <c r="AI579" s="109"/>
    </row>
    <row r="580">
      <c r="A580" s="112"/>
      <c r="B580" s="112"/>
      <c r="C580" s="112"/>
      <c r="D580" s="119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  <c r="AA580" s="109"/>
      <c r="AB580" s="109"/>
      <c r="AC580" s="109"/>
      <c r="AD580" s="109"/>
      <c r="AE580" s="109"/>
      <c r="AF580" s="109"/>
      <c r="AG580" s="109"/>
      <c r="AH580" s="109"/>
      <c r="AI580" s="109"/>
    </row>
    <row r="581">
      <c r="A581" s="112"/>
      <c r="B581" s="112"/>
      <c r="C581" s="112"/>
      <c r="D581" s="119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  <c r="AA581" s="109"/>
      <c r="AB581" s="109"/>
      <c r="AC581" s="109"/>
      <c r="AD581" s="109"/>
      <c r="AE581" s="109"/>
      <c r="AF581" s="109"/>
      <c r="AG581" s="109"/>
      <c r="AH581" s="109"/>
      <c r="AI581" s="109"/>
    </row>
    <row r="582">
      <c r="A582" s="112"/>
      <c r="B582" s="112"/>
      <c r="C582" s="112"/>
      <c r="D582" s="119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  <c r="AA582" s="109"/>
      <c r="AB582" s="109"/>
      <c r="AC582" s="109"/>
      <c r="AD582" s="109"/>
      <c r="AE582" s="109"/>
      <c r="AF582" s="109"/>
      <c r="AG582" s="109"/>
      <c r="AH582" s="109"/>
      <c r="AI582" s="109"/>
    </row>
    <row r="583">
      <c r="A583" s="112"/>
      <c r="B583" s="112"/>
      <c r="C583" s="112"/>
      <c r="D583" s="119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09"/>
      <c r="AB583" s="109"/>
      <c r="AC583" s="109"/>
      <c r="AD583" s="109"/>
      <c r="AE583" s="109"/>
      <c r="AF583" s="109"/>
      <c r="AG583" s="109"/>
      <c r="AH583" s="109"/>
      <c r="AI583" s="109"/>
    </row>
    <row r="584">
      <c r="A584" s="112"/>
      <c r="B584" s="112"/>
      <c r="C584" s="112"/>
      <c r="D584" s="119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09"/>
      <c r="AB584" s="109"/>
      <c r="AC584" s="109"/>
      <c r="AD584" s="109"/>
      <c r="AE584" s="109"/>
      <c r="AF584" s="109"/>
      <c r="AG584" s="109"/>
      <c r="AH584" s="109"/>
      <c r="AI584" s="109"/>
    </row>
    <row r="585">
      <c r="A585" s="112"/>
      <c r="B585" s="112"/>
      <c r="C585" s="112"/>
      <c r="D585" s="119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  <c r="AA585" s="109"/>
      <c r="AB585" s="109"/>
      <c r="AC585" s="109"/>
      <c r="AD585" s="109"/>
      <c r="AE585" s="109"/>
      <c r="AF585" s="109"/>
      <c r="AG585" s="109"/>
      <c r="AH585" s="109"/>
      <c r="AI585" s="109"/>
    </row>
    <row r="586">
      <c r="A586" s="112"/>
      <c r="B586" s="112"/>
      <c r="C586" s="112"/>
      <c r="D586" s="119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  <c r="AA586" s="109"/>
      <c r="AB586" s="109"/>
      <c r="AC586" s="109"/>
      <c r="AD586" s="109"/>
      <c r="AE586" s="109"/>
      <c r="AF586" s="109"/>
      <c r="AG586" s="109"/>
      <c r="AH586" s="109"/>
      <c r="AI586" s="109"/>
    </row>
    <row r="587">
      <c r="A587" s="112"/>
      <c r="B587" s="112"/>
      <c r="C587" s="112"/>
      <c r="D587" s="119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  <c r="AA587" s="109"/>
      <c r="AB587" s="109"/>
      <c r="AC587" s="109"/>
      <c r="AD587" s="109"/>
      <c r="AE587" s="109"/>
      <c r="AF587" s="109"/>
      <c r="AG587" s="109"/>
      <c r="AH587" s="109"/>
      <c r="AI587" s="109"/>
    </row>
    <row r="588">
      <c r="A588" s="112"/>
      <c r="B588" s="112"/>
      <c r="C588" s="112"/>
      <c r="D588" s="119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  <c r="AA588" s="109"/>
      <c r="AB588" s="109"/>
      <c r="AC588" s="109"/>
      <c r="AD588" s="109"/>
      <c r="AE588" s="109"/>
      <c r="AF588" s="109"/>
      <c r="AG588" s="109"/>
      <c r="AH588" s="109"/>
      <c r="AI588" s="109"/>
    </row>
    <row r="589">
      <c r="A589" s="112"/>
      <c r="B589" s="112"/>
      <c r="C589" s="112"/>
      <c r="D589" s="119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  <c r="AA589" s="109"/>
      <c r="AB589" s="109"/>
      <c r="AC589" s="109"/>
      <c r="AD589" s="109"/>
      <c r="AE589" s="109"/>
      <c r="AF589" s="109"/>
      <c r="AG589" s="109"/>
      <c r="AH589" s="109"/>
      <c r="AI589" s="109"/>
    </row>
    <row r="590">
      <c r="A590" s="112"/>
      <c r="B590" s="112"/>
      <c r="C590" s="112"/>
      <c r="D590" s="119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  <c r="AA590" s="109"/>
      <c r="AB590" s="109"/>
      <c r="AC590" s="109"/>
      <c r="AD590" s="109"/>
      <c r="AE590" s="109"/>
      <c r="AF590" s="109"/>
      <c r="AG590" s="109"/>
      <c r="AH590" s="109"/>
      <c r="AI590" s="109"/>
    </row>
    <row r="591">
      <c r="A591" s="112"/>
      <c r="B591" s="112"/>
      <c r="C591" s="112"/>
      <c r="D591" s="119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09"/>
      <c r="AB591" s="109"/>
      <c r="AC591" s="109"/>
      <c r="AD591" s="109"/>
      <c r="AE591" s="109"/>
      <c r="AF591" s="109"/>
      <c r="AG591" s="109"/>
      <c r="AH591" s="109"/>
      <c r="AI591" s="109"/>
    </row>
    <row r="592">
      <c r="A592" s="112"/>
      <c r="B592" s="112"/>
      <c r="C592" s="112"/>
      <c r="D592" s="119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  <c r="AA592" s="109"/>
      <c r="AB592" s="109"/>
      <c r="AC592" s="109"/>
      <c r="AD592" s="109"/>
      <c r="AE592" s="109"/>
      <c r="AF592" s="109"/>
      <c r="AG592" s="109"/>
      <c r="AH592" s="109"/>
      <c r="AI592" s="109"/>
    </row>
    <row r="593">
      <c r="A593" s="112"/>
      <c r="B593" s="112"/>
      <c r="C593" s="112"/>
      <c r="D593" s="119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  <c r="AA593" s="109"/>
      <c r="AB593" s="109"/>
      <c r="AC593" s="109"/>
      <c r="AD593" s="109"/>
      <c r="AE593" s="109"/>
      <c r="AF593" s="109"/>
      <c r="AG593" s="109"/>
      <c r="AH593" s="109"/>
      <c r="AI593" s="109"/>
    </row>
    <row r="594">
      <c r="A594" s="112"/>
      <c r="B594" s="112"/>
      <c r="C594" s="112"/>
      <c r="D594" s="119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  <c r="AA594" s="109"/>
      <c r="AB594" s="109"/>
      <c r="AC594" s="109"/>
      <c r="AD594" s="109"/>
      <c r="AE594" s="109"/>
      <c r="AF594" s="109"/>
      <c r="AG594" s="109"/>
      <c r="AH594" s="109"/>
      <c r="AI594" s="109"/>
    </row>
    <row r="595">
      <c r="A595" s="112"/>
      <c r="B595" s="112"/>
      <c r="C595" s="112"/>
      <c r="D595" s="119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  <c r="AA595" s="109"/>
      <c r="AB595" s="109"/>
      <c r="AC595" s="109"/>
      <c r="AD595" s="109"/>
      <c r="AE595" s="109"/>
      <c r="AF595" s="109"/>
      <c r="AG595" s="109"/>
      <c r="AH595" s="109"/>
      <c r="AI595" s="109"/>
    </row>
    <row r="596">
      <c r="A596" s="112"/>
      <c r="B596" s="112"/>
      <c r="C596" s="112"/>
      <c r="D596" s="119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  <c r="AA596" s="109"/>
      <c r="AB596" s="109"/>
      <c r="AC596" s="109"/>
      <c r="AD596" s="109"/>
      <c r="AE596" s="109"/>
      <c r="AF596" s="109"/>
      <c r="AG596" s="109"/>
      <c r="AH596" s="109"/>
      <c r="AI596" s="109"/>
    </row>
    <row r="597">
      <c r="A597" s="112"/>
      <c r="B597" s="112"/>
      <c r="C597" s="112"/>
      <c r="D597" s="119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  <c r="AA597" s="109"/>
      <c r="AB597" s="109"/>
      <c r="AC597" s="109"/>
      <c r="AD597" s="109"/>
      <c r="AE597" s="109"/>
      <c r="AF597" s="109"/>
      <c r="AG597" s="109"/>
      <c r="AH597" s="109"/>
      <c r="AI597" s="109"/>
    </row>
    <row r="598">
      <c r="A598" s="112"/>
      <c r="B598" s="112"/>
      <c r="C598" s="112"/>
      <c r="D598" s="119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  <c r="AA598" s="109"/>
      <c r="AB598" s="109"/>
      <c r="AC598" s="109"/>
      <c r="AD598" s="109"/>
      <c r="AE598" s="109"/>
      <c r="AF598" s="109"/>
      <c r="AG598" s="109"/>
      <c r="AH598" s="109"/>
      <c r="AI598" s="109"/>
    </row>
    <row r="599">
      <c r="A599" s="112"/>
      <c r="B599" s="112"/>
      <c r="C599" s="112"/>
      <c r="D599" s="119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09"/>
      <c r="AB599" s="109"/>
      <c r="AC599" s="109"/>
      <c r="AD599" s="109"/>
      <c r="AE599" s="109"/>
      <c r="AF599" s="109"/>
      <c r="AG599" s="109"/>
      <c r="AH599" s="109"/>
      <c r="AI599" s="109"/>
    </row>
    <row r="600">
      <c r="A600" s="112"/>
      <c r="B600" s="112"/>
      <c r="C600" s="112"/>
      <c r="D600" s="119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  <c r="AA600" s="109"/>
      <c r="AB600" s="109"/>
      <c r="AC600" s="109"/>
      <c r="AD600" s="109"/>
      <c r="AE600" s="109"/>
      <c r="AF600" s="109"/>
      <c r="AG600" s="109"/>
      <c r="AH600" s="109"/>
      <c r="AI600" s="109"/>
    </row>
    <row r="601">
      <c r="A601" s="112"/>
      <c r="B601" s="112"/>
      <c r="C601" s="112"/>
      <c r="D601" s="119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  <c r="AA601" s="109"/>
      <c r="AB601" s="109"/>
      <c r="AC601" s="109"/>
      <c r="AD601" s="109"/>
      <c r="AE601" s="109"/>
      <c r="AF601" s="109"/>
      <c r="AG601" s="109"/>
      <c r="AH601" s="109"/>
      <c r="AI601" s="109"/>
    </row>
    <row r="602">
      <c r="A602" s="112"/>
      <c r="B602" s="112"/>
      <c r="C602" s="112"/>
      <c r="D602" s="119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  <c r="AA602" s="109"/>
      <c r="AB602" s="109"/>
      <c r="AC602" s="109"/>
      <c r="AD602" s="109"/>
      <c r="AE602" s="109"/>
      <c r="AF602" s="109"/>
      <c r="AG602" s="109"/>
      <c r="AH602" s="109"/>
      <c r="AI602" s="109"/>
    </row>
    <row r="603">
      <c r="A603" s="112"/>
      <c r="B603" s="112"/>
      <c r="C603" s="112"/>
      <c r="D603" s="119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  <c r="AA603" s="109"/>
      <c r="AB603" s="109"/>
      <c r="AC603" s="109"/>
      <c r="AD603" s="109"/>
      <c r="AE603" s="109"/>
      <c r="AF603" s="109"/>
      <c r="AG603" s="109"/>
      <c r="AH603" s="109"/>
      <c r="AI603" s="109"/>
    </row>
    <row r="604">
      <c r="A604" s="112"/>
      <c r="B604" s="112"/>
      <c r="C604" s="112"/>
      <c r="D604" s="119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  <c r="AA604" s="109"/>
      <c r="AB604" s="109"/>
      <c r="AC604" s="109"/>
      <c r="AD604" s="109"/>
      <c r="AE604" s="109"/>
      <c r="AF604" s="109"/>
      <c r="AG604" s="109"/>
      <c r="AH604" s="109"/>
      <c r="AI604" s="109"/>
    </row>
    <row r="605">
      <c r="A605" s="112"/>
      <c r="B605" s="112"/>
      <c r="C605" s="112"/>
      <c r="D605" s="119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  <c r="AA605" s="109"/>
      <c r="AB605" s="109"/>
      <c r="AC605" s="109"/>
      <c r="AD605" s="109"/>
      <c r="AE605" s="109"/>
      <c r="AF605" s="109"/>
      <c r="AG605" s="109"/>
      <c r="AH605" s="109"/>
      <c r="AI605" s="109"/>
    </row>
    <row r="606">
      <c r="A606" s="112"/>
      <c r="B606" s="112"/>
      <c r="C606" s="112"/>
      <c r="D606" s="119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  <c r="AA606" s="109"/>
      <c r="AB606" s="109"/>
      <c r="AC606" s="109"/>
      <c r="AD606" s="109"/>
      <c r="AE606" s="109"/>
      <c r="AF606" s="109"/>
      <c r="AG606" s="109"/>
      <c r="AH606" s="109"/>
      <c r="AI606" s="109"/>
    </row>
    <row r="607">
      <c r="A607" s="112"/>
      <c r="B607" s="112"/>
      <c r="C607" s="112"/>
      <c r="D607" s="119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09"/>
      <c r="AB607" s="109"/>
      <c r="AC607" s="109"/>
      <c r="AD607" s="109"/>
      <c r="AE607" s="109"/>
      <c r="AF607" s="109"/>
      <c r="AG607" s="109"/>
      <c r="AH607" s="109"/>
      <c r="AI607" s="109"/>
    </row>
    <row r="608">
      <c r="A608" s="112"/>
      <c r="B608" s="112"/>
      <c r="C608" s="112"/>
      <c r="D608" s="119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  <c r="AA608" s="109"/>
      <c r="AB608" s="109"/>
      <c r="AC608" s="109"/>
      <c r="AD608" s="109"/>
      <c r="AE608" s="109"/>
      <c r="AF608" s="109"/>
      <c r="AG608" s="109"/>
      <c r="AH608" s="109"/>
      <c r="AI608" s="109"/>
    </row>
    <row r="609">
      <c r="A609" s="112"/>
      <c r="B609" s="112"/>
      <c r="C609" s="112"/>
      <c r="D609" s="119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09"/>
      <c r="AB609" s="109"/>
      <c r="AC609" s="109"/>
      <c r="AD609" s="109"/>
      <c r="AE609" s="109"/>
      <c r="AF609" s="109"/>
      <c r="AG609" s="109"/>
      <c r="AH609" s="109"/>
      <c r="AI609" s="109"/>
    </row>
    <row r="610">
      <c r="A610" s="112"/>
      <c r="B610" s="112"/>
      <c r="C610" s="112"/>
      <c r="D610" s="119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  <c r="AA610" s="109"/>
      <c r="AB610" s="109"/>
      <c r="AC610" s="109"/>
      <c r="AD610" s="109"/>
      <c r="AE610" s="109"/>
      <c r="AF610" s="109"/>
      <c r="AG610" s="109"/>
      <c r="AH610" s="109"/>
      <c r="AI610" s="109"/>
    </row>
    <row r="611">
      <c r="A611" s="112"/>
      <c r="B611" s="112"/>
      <c r="C611" s="112"/>
      <c r="D611" s="119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  <c r="AA611" s="109"/>
      <c r="AB611" s="109"/>
      <c r="AC611" s="109"/>
      <c r="AD611" s="109"/>
      <c r="AE611" s="109"/>
      <c r="AF611" s="109"/>
      <c r="AG611" s="109"/>
      <c r="AH611" s="109"/>
      <c r="AI611" s="109"/>
    </row>
    <row r="612">
      <c r="A612" s="112"/>
      <c r="B612" s="112"/>
      <c r="C612" s="112"/>
      <c r="D612" s="119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  <c r="AA612" s="109"/>
      <c r="AB612" s="109"/>
      <c r="AC612" s="109"/>
      <c r="AD612" s="109"/>
      <c r="AE612" s="109"/>
      <c r="AF612" s="109"/>
      <c r="AG612" s="109"/>
      <c r="AH612" s="109"/>
      <c r="AI612" s="109"/>
    </row>
    <row r="613">
      <c r="A613" s="112"/>
      <c r="B613" s="112"/>
      <c r="C613" s="112"/>
      <c r="D613" s="119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  <c r="AA613" s="109"/>
      <c r="AB613" s="109"/>
      <c r="AC613" s="109"/>
      <c r="AD613" s="109"/>
      <c r="AE613" s="109"/>
      <c r="AF613" s="109"/>
      <c r="AG613" s="109"/>
      <c r="AH613" s="109"/>
      <c r="AI613" s="109"/>
    </row>
    <row r="614">
      <c r="A614" s="112"/>
      <c r="B614" s="112"/>
      <c r="C614" s="112"/>
      <c r="D614" s="119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  <c r="AA614" s="109"/>
      <c r="AB614" s="109"/>
      <c r="AC614" s="109"/>
      <c r="AD614" s="109"/>
      <c r="AE614" s="109"/>
      <c r="AF614" s="109"/>
      <c r="AG614" s="109"/>
      <c r="AH614" s="109"/>
      <c r="AI614" s="109"/>
    </row>
    <row r="615">
      <c r="A615" s="112"/>
      <c r="B615" s="112"/>
      <c r="C615" s="112"/>
      <c r="D615" s="119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  <c r="AA615" s="109"/>
      <c r="AB615" s="109"/>
      <c r="AC615" s="109"/>
      <c r="AD615" s="109"/>
      <c r="AE615" s="109"/>
      <c r="AF615" s="109"/>
      <c r="AG615" s="109"/>
      <c r="AH615" s="109"/>
      <c r="AI615" s="109"/>
    </row>
    <row r="616">
      <c r="A616" s="112"/>
      <c r="B616" s="112"/>
      <c r="C616" s="112"/>
      <c r="D616" s="119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09"/>
      <c r="AB616" s="109"/>
      <c r="AC616" s="109"/>
      <c r="AD616" s="109"/>
      <c r="AE616" s="109"/>
      <c r="AF616" s="109"/>
      <c r="AG616" s="109"/>
      <c r="AH616" s="109"/>
      <c r="AI616" s="109"/>
    </row>
    <row r="617">
      <c r="A617" s="112"/>
      <c r="B617" s="112"/>
      <c r="C617" s="112"/>
      <c r="D617" s="119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09"/>
      <c r="AB617" s="109"/>
      <c r="AC617" s="109"/>
      <c r="AD617" s="109"/>
      <c r="AE617" s="109"/>
      <c r="AF617" s="109"/>
      <c r="AG617" s="109"/>
      <c r="AH617" s="109"/>
      <c r="AI617" s="109"/>
    </row>
    <row r="618">
      <c r="A618" s="112"/>
      <c r="B618" s="112"/>
      <c r="C618" s="112"/>
      <c r="D618" s="119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09"/>
      <c r="AB618" s="109"/>
      <c r="AC618" s="109"/>
      <c r="AD618" s="109"/>
      <c r="AE618" s="109"/>
      <c r="AF618" s="109"/>
      <c r="AG618" s="109"/>
      <c r="AH618" s="109"/>
      <c r="AI618" s="109"/>
    </row>
    <row r="619">
      <c r="A619" s="112"/>
      <c r="B619" s="112"/>
      <c r="C619" s="112"/>
      <c r="D619" s="119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09"/>
      <c r="AB619" s="109"/>
      <c r="AC619" s="109"/>
      <c r="AD619" s="109"/>
      <c r="AE619" s="109"/>
      <c r="AF619" s="109"/>
      <c r="AG619" s="109"/>
      <c r="AH619" s="109"/>
      <c r="AI619" s="109"/>
    </row>
    <row r="620">
      <c r="A620" s="112"/>
      <c r="B620" s="112"/>
      <c r="C620" s="112"/>
      <c r="D620" s="119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09"/>
      <c r="AB620" s="109"/>
      <c r="AC620" s="109"/>
      <c r="AD620" s="109"/>
      <c r="AE620" s="109"/>
      <c r="AF620" s="109"/>
      <c r="AG620" s="109"/>
      <c r="AH620" s="109"/>
      <c r="AI620" s="109"/>
    </row>
    <row r="621">
      <c r="A621" s="112"/>
      <c r="B621" s="112"/>
      <c r="C621" s="112"/>
      <c r="D621" s="119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09"/>
      <c r="AB621" s="109"/>
      <c r="AC621" s="109"/>
      <c r="AD621" s="109"/>
      <c r="AE621" s="109"/>
      <c r="AF621" s="109"/>
      <c r="AG621" s="109"/>
      <c r="AH621" s="109"/>
      <c r="AI621" s="109"/>
    </row>
    <row r="622">
      <c r="A622" s="112"/>
      <c r="B622" s="112"/>
      <c r="C622" s="112"/>
      <c r="D622" s="119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09"/>
      <c r="AB622" s="109"/>
      <c r="AC622" s="109"/>
      <c r="AD622" s="109"/>
      <c r="AE622" s="109"/>
      <c r="AF622" s="109"/>
      <c r="AG622" s="109"/>
      <c r="AH622" s="109"/>
      <c r="AI622" s="109"/>
    </row>
    <row r="623">
      <c r="A623" s="112"/>
      <c r="B623" s="112"/>
      <c r="C623" s="112"/>
      <c r="D623" s="119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09"/>
      <c r="AB623" s="109"/>
      <c r="AC623" s="109"/>
      <c r="AD623" s="109"/>
      <c r="AE623" s="109"/>
      <c r="AF623" s="109"/>
      <c r="AG623" s="109"/>
      <c r="AH623" s="109"/>
      <c r="AI623" s="109"/>
    </row>
    <row r="624">
      <c r="A624" s="112"/>
      <c r="B624" s="112"/>
      <c r="C624" s="112"/>
      <c r="D624" s="119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09"/>
      <c r="AB624" s="109"/>
      <c r="AC624" s="109"/>
      <c r="AD624" s="109"/>
      <c r="AE624" s="109"/>
      <c r="AF624" s="109"/>
      <c r="AG624" s="109"/>
      <c r="AH624" s="109"/>
      <c r="AI624" s="109"/>
    </row>
    <row r="625">
      <c r="A625" s="112"/>
      <c r="B625" s="112"/>
      <c r="C625" s="112"/>
      <c r="D625" s="119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09"/>
      <c r="AB625" s="109"/>
      <c r="AC625" s="109"/>
      <c r="AD625" s="109"/>
      <c r="AE625" s="109"/>
      <c r="AF625" s="109"/>
      <c r="AG625" s="109"/>
      <c r="AH625" s="109"/>
      <c r="AI625" s="109"/>
    </row>
    <row r="626">
      <c r="A626" s="112"/>
      <c r="B626" s="112"/>
      <c r="C626" s="112"/>
      <c r="D626" s="119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09"/>
      <c r="AB626" s="109"/>
      <c r="AC626" s="109"/>
      <c r="AD626" s="109"/>
      <c r="AE626" s="109"/>
      <c r="AF626" s="109"/>
      <c r="AG626" s="109"/>
      <c r="AH626" s="109"/>
      <c r="AI626" s="109"/>
    </row>
    <row r="627">
      <c r="A627" s="112"/>
      <c r="B627" s="112"/>
      <c r="C627" s="112"/>
      <c r="D627" s="119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  <c r="AA627" s="109"/>
      <c r="AB627" s="109"/>
      <c r="AC627" s="109"/>
      <c r="AD627" s="109"/>
      <c r="AE627" s="109"/>
      <c r="AF627" s="109"/>
      <c r="AG627" s="109"/>
      <c r="AH627" s="109"/>
      <c r="AI627" s="109"/>
    </row>
    <row r="628">
      <c r="A628" s="112"/>
      <c r="B628" s="112"/>
      <c r="C628" s="112"/>
      <c r="D628" s="119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09"/>
      <c r="AB628" s="109"/>
      <c r="AC628" s="109"/>
      <c r="AD628" s="109"/>
      <c r="AE628" s="109"/>
      <c r="AF628" s="109"/>
      <c r="AG628" s="109"/>
      <c r="AH628" s="109"/>
      <c r="AI628" s="109"/>
    </row>
    <row r="629">
      <c r="A629" s="112"/>
      <c r="B629" s="112"/>
      <c r="C629" s="112"/>
      <c r="D629" s="119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09"/>
      <c r="AB629" s="109"/>
      <c r="AC629" s="109"/>
      <c r="AD629" s="109"/>
      <c r="AE629" s="109"/>
      <c r="AF629" s="109"/>
      <c r="AG629" s="109"/>
      <c r="AH629" s="109"/>
      <c r="AI629" s="109"/>
    </row>
    <row r="630">
      <c r="A630" s="112"/>
      <c r="B630" s="112"/>
      <c r="C630" s="112"/>
      <c r="D630" s="119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  <c r="AA630" s="109"/>
      <c r="AB630" s="109"/>
      <c r="AC630" s="109"/>
      <c r="AD630" s="109"/>
      <c r="AE630" s="109"/>
      <c r="AF630" s="109"/>
      <c r="AG630" s="109"/>
      <c r="AH630" s="109"/>
      <c r="AI630" s="109"/>
    </row>
    <row r="631">
      <c r="A631" s="112"/>
      <c r="B631" s="112"/>
      <c r="C631" s="112"/>
      <c r="D631" s="119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  <c r="AA631" s="109"/>
      <c r="AB631" s="109"/>
      <c r="AC631" s="109"/>
      <c r="AD631" s="109"/>
      <c r="AE631" s="109"/>
      <c r="AF631" s="109"/>
      <c r="AG631" s="109"/>
      <c r="AH631" s="109"/>
      <c r="AI631" s="109"/>
    </row>
    <row r="632">
      <c r="A632" s="112"/>
      <c r="B632" s="112"/>
      <c r="C632" s="112"/>
      <c r="D632" s="119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  <c r="AA632" s="109"/>
      <c r="AB632" s="109"/>
      <c r="AC632" s="109"/>
      <c r="AD632" s="109"/>
      <c r="AE632" s="109"/>
      <c r="AF632" s="109"/>
      <c r="AG632" s="109"/>
      <c r="AH632" s="109"/>
      <c r="AI632" s="109"/>
    </row>
    <row r="633">
      <c r="A633" s="112"/>
      <c r="B633" s="112"/>
      <c r="C633" s="112"/>
      <c r="D633" s="119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  <c r="AA633" s="109"/>
      <c r="AB633" s="109"/>
      <c r="AC633" s="109"/>
      <c r="AD633" s="109"/>
      <c r="AE633" s="109"/>
      <c r="AF633" s="109"/>
      <c r="AG633" s="109"/>
      <c r="AH633" s="109"/>
      <c r="AI633" s="109"/>
    </row>
    <row r="634">
      <c r="A634" s="112"/>
      <c r="B634" s="112"/>
      <c r="C634" s="112"/>
      <c r="D634" s="119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  <c r="AA634" s="109"/>
      <c r="AB634" s="109"/>
      <c r="AC634" s="109"/>
      <c r="AD634" s="109"/>
      <c r="AE634" s="109"/>
      <c r="AF634" s="109"/>
      <c r="AG634" s="109"/>
      <c r="AH634" s="109"/>
      <c r="AI634" s="109"/>
    </row>
    <row r="635">
      <c r="A635" s="112"/>
      <c r="B635" s="112"/>
      <c r="C635" s="112"/>
      <c r="D635" s="119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09"/>
      <c r="AB635" s="109"/>
      <c r="AC635" s="109"/>
      <c r="AD635" s="109"/>
      <c r="AE635" s="109"/>
      <c r="AF635" s="109"/>
      <c r="AG635" s="109"/>
      <c r="AH635" s="109"/>
      <c r="AI635" s="109"/>
    </row>
    <row r="636">
      <c r="A636" s="112"/>
      <c r="B636" s="112"/>
      <c r="C636" s="112"/>
      <c r="D636" s="119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  <c r="AA636" s="109"/>
      <c r="AB636" s="109"/>
      <c r="AC636" s="109"/>
      <c r="AD636" s="109"/>
      <c r="AE636" s="109"/>
      <c r="AF636" s="109"/>
      <c r="AG636" s="109"/>
      <c r="AH636" s="109"/>
      <c r="AI636" s="109"/>
    </row>
    <row r="637">
      <c r="A637" s="112"/>
      <c r="B637" s="112"/>
      <c r="C637" s="112"/>
      <c r="D637" s="119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09"/>
      <c r="AB637" s="109"/>
      <c r="AC637" s="109"/>
      <c r="AD637" s="109"/>
      <c r="AE637" s="109"/>
      <c r="AF637" s="109"/>
      <c r="AG637" s="109"/>
      <c r="AH637" s="109"/>
      <c r="AI637" s="109"/>
    </row>
    <row r="638">
      <c r="A638" s="112"/>
      <c r="B638" s="112"/>
      <c r="C638" s="112"/>
      <c r="D638" s="119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  <c r="AA638" s="109"/>
      <c r="AB638" s="109"/>
      <c r="AC638" s="109"/>
      <c r="AD638" s="109"/>
      <c r="AE638" s="109"/>
      <c r="AF638" s="109"/>
      <c r="AG638" s="109"/>
      <c r="AH638" s="109"/>
      <c r="AI638" s="109"/>
    </row>
    <row r="639">
      <c r="A639" s="112"/>
      <c r="B639" s="112"/>
      <c r="C639" s="112"/>
      <c r="D639" s="119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09"/>
      <c r="AB639" s="109"/>
      <c r="AC639" s="109"/>
      <c r="AD639" s="109"/>
      <c r="AE639" s="109"/>
      <c r="AF639" s="109"/>
      <c r="AG639" s="109"/>
      <c r="AH639" s="109"/>
      <c r="AI639" s="109"/>
    </row>
    <row r="640">
      <c r="A640" s="112"/>
      <c r="B640" s="112"/>
      <c r="C640" s="112"/>
      <c r="D640" s="119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09"/>
      <c r="AB640" s="109"/>
      <c r="AC640" s="109"/>
      <c r="AD640" s="109"/>
      <c r="AE640" s="109"/>
      <c r="AF640" s="109"/>
      <c r="AG640" s="109"/>
      <c r="AH640" s="109"/>
      <c r="AI640" s="109"/>
    </row>
    <row r="641">
      <c r="A641" s="112"/>
      <c r="B641" s="112"/>
      <c r="C641" s="112"/>
      <c r="D641" s="119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09"/>
      <c r="AB641" s="109"/>
      <c r="AC641" s="109"/>
      <c r="AD641" s="109"/>
      <c r="AE641" s="109"/>
      <c r="AF641" s="109"/>
      <c r="AG641" s="109"/>
      <c r="AH641" s="109"/>
      <c r="AI641" s="109"/>
    </row>
    <row r="642">
      <c r="A642" s="112"/>
      <c r="B642" s="112"/>
      <c r="C642" s="112"/>
      <c r="D642" s="119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09"/>
      <c r="AB642" s="109"/>
      <c r="AC642" s="109"/>
      <c r="AD642" s="109"/>
      <c r="AE642" s="109"/>
      <c r="AF642" s="109"/>
      <c r="AG642" s="109"/>
      <c r="AH642" s="109"/>
      <c r="AI642" s="109"/>
    </row>
    <row r="643">
      <c r="A643" s="112"/>
      <c r="B643" s="112"/>
      <c r="C643" s="112"/>
      <c r="D643" s="119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  <c r="AA643" s="109"/>
      <c r="AB643" s="109"/>
      <c r="AC643" s="109"/>
      <c r="AD643" s="109"/>
      <c r="AE643" s="109"/>
      <c r="AF643" s="109"/>
      <c r="AG643" s="109"/>
      <c r="AH643" s="109"/>
      <c r="AI643" s="109"/>
    </row>
    <row r="644">
      <c r="A644" s="112"/>
      <c r="B644" s="112"/>
      <c r="C644" s="112"/>
      <c r="D644" s="119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  <c r="AA644" s="109"/>
      <c r="AB644" s="109"/>
      <c r="AC644" s="109"/>
      <c r="AD644" s="109"/>
      <c r="AE644" s="109"/>
      <c r="AF644" s="109"/>
      <c r="AG644" s="109"/>
      <c r="AH644" s="109"/>
      <c r="AI644" s="109"/>
    </row>
    <row r="645">
      <c r="A645" s="112"/>
      <c r="B645" s="112"/>
      <c r="C645" s="112"/>
      <c r="D645" s="119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  <c r="AA645" s="109"/>
      <c r="AB645" s="109"/>
      <c r="AC645" s="109"/>
      <c r="AD645" s="109"/>
      <c r="AE645" s="109"/>
      <c r="AF645" s="109"/>
      <c r="AG645" s="109"/>
      <c r="AH645" s="109"/>
      <c r="AI645" s="109"/>
    </row>
    <row r="646">
      <c r="A646" s="112"/>
      <c r="B646" s="112"/>
      <c r="C646" s="112"/>
      <c r="D646" s="119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  <c r="AA646" s="109"/>
      <c r="AB646" s="109"/>
      <c r="AC646" s="109"/>
      <c r="AD646" s="109"/>
      <c r="AE646" s="109"/>
      <c r="AF646" s="109"/>
      <c r="AG646" s="109"/>
      <c r="AH646" s="109"/>
      <c r="AI646" s="109"/>
    </row>
    <row r="647">
      <c r="A647" s="112"/>
      <c r="B647" s="112"/>
      <c r="C647" s="112"/>
      <c r="D647" s="119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  <c r="AA647" s="109"/>
      <c r="AB647" s="109"/>
      <c r="AC647" s="109"/>
      <c r="AD647" s="109"/>
      <c r="AE647" s="109"/>
      <c r="AF647" s="109"/>
      <c r="AG647" s="109"/>
      <c r="AH647" s="109"/>
      <c r="AI647" s="109"/>
    </row>
    <row r="648">
      <c r="A648" s="112"/>
      <c r="B648" s="112"/>
      <c r="C648" s="112"/>
      <c r="D648" s="119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09"/>
      <c r="AB648" s="109"/>
      <c r="AC648" s="109"/>
      <c r="AD648" s="109"/>
      <c r="AE648" s="109"/>
      <c r="AF648" s="109"/>
      <c r="AG648" s="109"/>
      <c r="AH648" s="109"/>
      <c r="AI648" s="109"/>
    </row>
    <row r="649">
      <c r="A649" s="112"/>
      <c r="B649" s="112"/>
      <c r="C649" s="112"/>
      <c r="D649" s="119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09"/>
      <c r="AB649" s="109"/>
      <c r="AC649" s="109"/>
      <c r="AD649" s="109"/>
      <c r="AE649" s="109"/>
      <c r="AF649" s="109"/>
      <c r="AG649" s="109"/>
      <c r="AH649" s="109"/>
      <c r="AI649" s="109"/>
    </row>
    <row r="650">
      <c r="A650" s="112"/>
      <c r="B650" s="112"/>
      <c r="C650" s="112"/>
      <c r="D650" s="119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09"/>
      <c r="AB650" s="109"/>
      <c r="AC650" s="109"/>
      <c r="AD650" s="109"/>
      <c r="AE650" s="109"/>
      <c r="AF650" s="109"/>
      <c r="AG650" s="109"/>
      <c r="AH650" s="109"/>
      <c r="AI650" s="109"/>
    </row>
    <row r="651">
      <c r="A651" s="112"/>
      <c r="B651" s="112"/>
      <c r="C651" s="112"/>
      <c r="D651" s="119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09"/>
      <c r="AB651" s="109"/>
      <c r="AC651" s="109"/>
      <c r="AD651" s="109"/>
      <c r="AE651" s="109"/>
      <c r="AF651" s="109"/>
      <c r="AG651" s="109"/>
      <c r="AH651" s="109"/>
      <c r="AI651" s="109"/>
    </row>
    <row r="652">
      <c r="A652" s="112"/>
      <c r="B652" s="112"/>
      <c r="C652" s="112"/>
      <c r="D652" s="119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09"/>
      <c r="AB652" s="109"/>
      <c r="AC652" s="109"/>
      <c r="AD652" s="109"/>
      <c r="AE652" s="109"/>
      <c r="AF652" s="109"/>
      <c r="AG652" s="109"/>
      <c r="AH652" s="109"/>
      <c r="AI652" s="109"/>
    </row>
    <row r="653">
      <c r="A653" s="112"/>
      <c r="B653" s="112"/>
      <c r="C653" s="112"/>
      <c r="D653" s="119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09"/>
      <c r="AB653" s="109"/>
      <c r="AC653" s="109"/>
      <c r="AD653" s="109"/>
      <c r="AE653" s="109"/>
      <c r="AF653" s="109"/>
      <c r="AG653" s="109"/>
      <c r="AH653" s="109"/>
      <c r="AI653" s="109"/>
    </row>
    <row r="654">
      <c r="A654" s="112"/>
      <c r="B654" s="112"/>
      <c r="C654" s="112"/>
      <c r="D654" s="119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09"/>
      <c r="AB654" s="109"/>
      <c r="AC654" s="109"/>
      <c r="AD654" s="109"/>
      <c r="AE654" s="109"/>
      <c r="AF654" s="109"/>
      <c r="AG654" s="109"/>
      <c r="AH654" s="109"/>
      <c r="AI654" s="109"/>
    </row>
    <row r="655">
      <c r="A655" s="112"/>
      <c r="B655" s="112"/>
      <c r="C655" s="112"/>
      <c r="D655" s="119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  <c r="AA655" s="109"/>
      <c r="AB655" s="109"/>
      <c r="AC655" s="109"/>
      <c r="AD655" s="109"/>
      <c r="AE655" s="109"/>
      <c r="AF655" s="109"/>
      <c r="AG655" s="109"/>
      <c r="AH655" s="109"/>
      <c r="AI655" s="109"/>
    </row>
    <row r="656">
      <c r="A656" s="112"/>
      <c r="B656" s="112"/>
      <c r="C656" s="112"/>
      <c r="D656" s="119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  <c r="AA656" s="109"/>
      <c r="AB656" s="109"/>
      <c r="AC656" s="109"/>
      <c r="AD656" s="109"/>
      <c r="AE656" s="109"/>
      <c r="AF656" s="109"/>
      <c r="AG656" s="109"/>
      <c r="AH656" s="109"/>
      <c r="AI656" s="109"/>
    </row>
    <row r="657">
      <c r="A657" s="112"/>
      <c r="B657" s="112"/>
      <c r="C657" s="112"/>
      <c r="D657" s="119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  <c r="AA657" s="109"/>
      <c r="AB657" s="109"/>
      <c r="AC657" s="109"/>
      <c r="AD657" s="109"/>
      <c r="AE657" s="109"/>
      <c r="AF657" s="109"/>
      <c r="AG657" s="109"/>
      <c r="AH657" s="109"/>
      <c r="AI657" s="109"/>
    </row>
    <row r="658">
      <c r="A658" s="112"/>
      <c r="B658" s="112"/>
      <c r="C658" s="112"/>
      <c r="D658" s="119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  <c r="AA658" s="109"/>
      <c r="AB658" s="109"/>
      <c r="AC658" s="109"/>
      <c r="AD658" s="109"/>
      <c r="AE658" s="109"/>
      <c r="AF658" s="109"/>
      <c r="AG658" s="109"/>
      <c r="AH658" s="109"/>
      <c r="AI658" s="109"/>
    </row>
    <row r="659">
      <c r="A659" s="112"/>
      <c r="B659" s="112"/>
      <c r="C659" s="112"/>
      <c r="D659" s="119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  <c r="AA659" s="109"/>
      <c r="AB659" s="109"/>
      <c r="AC659" s="109"/>
      <c r="AD659" s="109"/>
      <c r="AE659" s="109"/>
      <c r="AF659" s="109"/>
      <c r="AG659" s="109"/>
      <c r="AH659" s="109"/>
      <c r="AI659" s="109"/>
    </row>
    <row r="660">
      <c r="A660" s="112"/>
      <c r="B660" s="112"/>
      <c r="C660" s="112"/>
      <c r="D660" s="119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09"/>
      <c r="AB660" s="109"/>
      <c r="AC660" s="109"/>
      <c r="AD660" s="109"/>
      <c r="AE660" s="109"/>
      <c r="AF660" s="109"/>
      <c r="AG660" s="109"/>
      <c r="AH660" s="109"/>
      <c r="AI660" s="109"/>
    </row>
    <row r="661">
      <c r="A661" s="112"/>
      <c r="B661" s="112"/>
      <c r="C661" s="112"/>
      <c r="D661" s="119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  <c r="AA661" s="109"/>
      <c r="AB661" s="109"/>
      <c r="AC661" s="109"/>
      <c r="AD661" s="109"/>
      <c r="AE661" s="109"/>
      <c r="AF661" s="109"/>
      <c r="AG661" s="109"/>
      <c r="AH661" s="109"/>
      <c r="AI661" s="109"/>
    </row>
    <row r="662">
      <c r="A662" s="112"/>
      <c r="B662" s="112"/>
      <c r="C662" s="112"/>
      <c r="D662" s="119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09"/>
      <c r="AB662" s="109"/>
      <c r="AC662" s="109"/>
      <c r="AD662" s="109"/>
      <c r="AE662" s="109"/>
      <c r="AF662" s="109"/>
      <c r="AG662" s="109"/>
      <c r="AH662" s="109"/>
      <c r="AI662" s="109"/>
    </row>
    <row r="663">
      <c r="A663" s="112"/>
      <c r="B663" s="112"/>
      <c r="C663" s="112"/>
      <c r="D663" s="119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09"/>
      <c r="AB663" s="109"/>
      <c r="AC663" s="109"/>
      <c r="AD663" s="109"/>
      <c r="AE663" s="109"/>
      <c r="AF663" s="109"/>
      <c r="AG663" s="109"/>
      <c r="AH663" s="109"/>
      <c r="AI663" s="109"/>
    </row>
    <row r="664">
      <c r="A664" s="112"/>
      <c r="B664" s="112"/>
      <c r="C664" s="112"/>
      <c r="D664" s="119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  <c r="AA664" s="109"/>
      <c r="AB664" s="109"/>
      <c r="AC664" s="109"/>
      <c r="AD664" s="109"/>
      <c r="AE664" s="109"/>
      <c r="AF664" s="109"/>
      <c r="AG664" s="109"/>
      <c r="AH664" s="109"/>
      <c r="AI664" s="109"/>
    </row>
    <row r="665">
      <c r="A665" s="112"/>
      <c r="B665" s="112"/>
      <c r="C665" s="112"/>
      <c r="D665" s="119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09"/>
      <c r="AB665" s="109"/>
      <c r="AC665" s="109"/>
      <c r="AD665" s="109"/>
      <c r="AE665" s="109"/>
      <c r="AF665" s="109"/>
      <c r="AG665" s="109"/>
      <c r="AH665" s="109"/>
      <c r="AI665" s="109"/>
    </row>
    <row r="666">
      <c r="A666" s="112"/>
      <c r="B666" s="112"/>
      <c r="C666" s="112"/>
      <c r="D666" s="119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09"/>
      <c r="AB666" s="109"/>
      <c r="AC666" s="109"/>
      <c r="AD666" s="109"/>
      <c r="AE666" s="109"/>
      <c r="AF666" s="109"/>
      <c r="AG666" s="109"/>
      <c r="AH666" s="109"/>
      <c r="AI666" s="109"/>
    </row>
    <row r="667">
      <c r="A667" s="112"/>
      <c r="B667" s="112"/>
      <c r="C667" s="112"/>
      <c r="D667" s="119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09"/>
      <c r="AB667" s="109"/>
      <c r="AC667" s="109"/>
      <c r="AD667" s="109"/>
      <c r="AE667" s="109"/>
      <c r="AF667" s="109"/>
      <c r="AG667" s="109"/>
      <c r="AH667" s="109"/>
      <c r="AI667" s="109"/>
    </row>
    <row r="668">
      <c r="A668" s="112"/>
      <c r="B668" s="112"/>
      <c r="C668" s="112"/>
      <c r="D668" s="119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09"/>
      <c r="AB668" s="109"/>
      <c r="AC668" s="109"/>
      <c r="AD668" s="109"/>
      <c r="AE668" s="109"/>
      <c r="AF668" s="109"/>
      <c r="AG668" s="109"/>
      <c r="AH668" s="109"/>
      <c r="AI668" s="109"/>
    </row>
    <row r="669">
      <c r="A669" s="112"/>
      <c r="B669" s="112"/>
      <c r="C669" s="112"/>
      <c r="D669" s="119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09"/>
      <c r="AB669" s="109"/>
      <c r="AC669" s="109"/>
      <c r="AD669" s="109"/>
      <c r="AE669" s="109"/>
      <c r="AF669" s="109"/>
      <c r="AG669" s="109"/>
      <c r="AH669" s="109"/>
      <c r="AI669" s="109"/>
    </row>
    <row r="670">
      <c r="A670" s="112"/>
      <c r="B670" s="112"/>
      <c r="C670" s="112"/>
      <c r="D670" s="119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09"/>
      <c r="AB670" s="109"/>
      <c r="AC670" s="109"/>
      <c r="AD670" s="109"/>
      <c r="AE670" s="109"/>
      <c r="AF670" s="109"/>
      <c r="AG670" s="109"/>
      <c r="AH670" s="109"/>
      <c r="AI670" s="109"/>
    </row>
    <row r="671">
      <c r="A671" s="112"/>
      <c r="B671" s="112"/>
      <c r="C671" s="112"/>
      <c r="D671" s="119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09"/>
      <c r="AB671" s="109"/>
      <c r="AC671" s="109"/>
      <c r="AD671" s="109"/>
      <c r="AE671" s="109"/>
      <c r="AF671" s="109"/>
      <c r="AG671" s="109"/>
      <c r="AH671" s="109"/>
      <c r="AI671" s="109"/>
    </row>
    <row r="672">
      <c r="A672" s="112"/>
      <c r="B672" s="112"/>
      <c r="C672" s="112"/>
      <c r="D672" s="119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09"/>
      <c r="AB672" s="109"/>
      <c r="AC672" s="109"/>
      <c r="AD672" s="109"/>
      <c r="AE672" s="109"/>
      <c r="AF672" s="109"/>
      <c r="AG672" s="109"/>
      <c r="AH672" s="109"/>
      <c r="AI672" s="109"/>
    </row>
    <row r="673">
      <c r="A673" s="112"/>
      <c r="B673" s="112"/>
      <c r="C673" s="112"/>
      <c r="D673" s="119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09"/>
      <c r="AB673" s="109"/>
      <c r="AC673" s="109"/>
      <c r="AD673" s="109"/>
      <c r="AE673" s="109"/>
      <c r="AF673" s="109"/>
      <c r="AG673" s="109"/>
      <c r="AH673" s="109"/>
      <c r="AI673" s="109"/>
    </row>
    <row r="674">
      <c r="A674" s="112"/>
      <c r="B674" s="112"/>
      <c r="C674" s="112"/>
      <c r="D674" s="119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09"/>
      <c r="AB674" s="109"/>
      <c r="AC674" s="109"/>
      <c r="AD674" s="109"/>
      <c r="AE674" s="109"/>
      <c r="AF674" s="109"/>
      <c r="AG674" s="109"/>
      <c r="AH674" s="109"/>
      <c r="AI674" s="109"/>
    </row>
    <row r="675">
      <c r="A675" s="112"/>
      <c r="B675" s="112"/>
      <c r="C675" s="112"/>
      <c r="D675" s="119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  <c r="AA675" s="109"/>
      <c r="AB675" s="109"/>
      <c r="AC675" s="109"/>
      <c r="AD675" s="109"/>
      <c r="AE675" s="109"/>
      <c r="AF675" s="109"/>
      <c r="AG675" s="109"/>
      <c r="AH675" s="109"/>
      <c r="AI675" s="109"/>
    </row>
    <row r="676">
      <c r="A676" s="112"/>
      <c r="B676" s="112"/>
      <c r="C676" s="112"/>
      <c r="D676" s="119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  <c r="AA676" s="109"/>
      <c r="AB676" s="109"/>
      <c r="AC676" s="109"/>
      <c r="AD676" s="109"/>
      <c r="AE676" s="109"/>
      <c r="AF676" s="109"/>
      <c r="AG676" s="109"/>
      <c r="AH676" s="109"/>
      <c r="AI676" s="109"/>
    </row>
    <row r="677">
      <c r="A677" s="112"/>
      <c r="B677" s="112"/>
      <c r="C677" s="112"/>
      <c r="D677" s="119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09"/>
      <c r="AB677" s="109"/>
      <c r="AC677" s="109"/>
      <c r="AD677" s="109"/>
      <c r="AE677" s="109"/>
      <c r="AF677" s="109"/>
      <c r="AG677" s="109"/>
      <c r="AH677" s="109"/>
      <c r="AI677" s="109"/>
    </row>
    <row r="678">
      <c r="A678" s="112"/>
      <c r="B678" s="112"/>
      <c r="C678" s="112"/>
      <c r="D678" s="119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09"/>
      <c r="AB678" s="109"/>
      <c r="AC678" s="109"/>
      <c r="AD678" s="109"/>
      <c r="AE678" s="109"/>
      <c r="AF678" s="109"/>
      <c r="AG678" s="109"/>
      <c r="AH678" s="109"/>
      <c r="AI678" s="109"/>
    </row>
    <row r="679">
      <c r="A679" s="112"/>
      <c r="B679" s="112"/>
      <c r="C679" s="112"/>
      <c r="D679" s="119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09"/>
      <c r="AB679" s="109"/>
      <c r="AC679" s="109"/>
      <c r="AD679" s="109"/>
      <c r="AE679" s="109"/>
      <c r="AF679" s="109"/>
      <c r="AG679" s="109"/>
      <c r="AH679" s="109"/>
      <c r="AI679" s="109"/>
    </row>
    <row r="680">
      <c r="A680" s="112"/>
      <c r="B680" s="112"/>
      <c r="C680" s="112"/>
      <c r="D680" s="119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09"/>
      <c r="AB680" s="109"/>
      <c r="AC680" s="109"/>
      <c r="AD680" s="109"/>
      <c r="AE680" s="109"/>
      <c r="AF680" s="109"/>
      <c r="AG680" s="109"/>
      <c r="AH680" s="109"/>
      <c r="AI680" s="109"/>
    </row>
    <row r="681">
      <c r="A681" s="112"/>
      <c r="B681" s="112"/>
      <c r="C681" s="112"/>
      <c r="D681" s="119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09"/>
      <c r="AB681" s="109"/>
      <c r="AC681" s="109"/>
      <c r="AD681" s="109"/>
      <c r="AE681" s="109"/>
      <c r="AF681" s="109"/>
      <c r="AG681" s="109"/>
      <c r="AH681" s="109"/>
      <c r="AI681" s="109"/>
    </row>
    <row r="682">
      <c r="A682" s="112"/>
      <c r="B682" s="112"/>
      <c r="C682" s="112"/>
      <c r="D682" s="119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09"/>
      <c r="AB682" s="109"/>
      <c r="AC682" s="109"/>
      <c r="AD682" s="109"/>
      <c r="AE682" s="109"/>
      <c r="AF682" s="109"/>
      <c r="AG682" s="109"/>
      <c r="AH682" s="109"/>
      <c r="AI682" s="109"/>
    </row>
    <row r="683">
      <c r="A683" s="112"/>
      <c r="B683" s="112"/>
      <c r="C683" s="112"/>
      <c r="D683" s="119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09"/>
      <c r="AB683" s="109"/>
      <c r="AC683" s="109"/>
      <c r="AD683" s="109"/>
      <c r="AE683" s="109"/>
      <c r="AF683" s="109"/>
      <c r="AG683" s="109"/>
      <c r="AH683" s="109"/>
      <c r="AI683" s="109"/>
    </row>
    <row r="684">
      <c r="A684" s="112"/>
      <c r="B684" s="112"/>
      <c r="C684" s="112"/>
      <c r="D684" s="119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09"/>
      <c r="AB684" s="109"/>
      <c r="AC684" s="109"/>
      <c r="AD684" s="109"/>
      <c r="AE684" s="109"/>
      <c r="AF684" s="109"/>
      <c r="AG684" s="109"/>
      <c r="AH684" s="109"/>
      <c r="AI684" s="109"/>
    </row>
    <row r="685">
      <c r="A685" s="112"/>
      <c r="B685" s="112"/>
      <c r="C685" s="112"/>
      <c r="D685" s="119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09"/>
      <c r="AB685" s="109"/>
      <c r="AC685" s="109"/>
      <c r="AD685" s="109"/>
      <c r="AE685" s="109"/>
      <c r="AF685" s="109"/>
      <c r="AG685" s="109"/>
      <c r="AH685" s="109"/>
      <c r="AI685" s="109"/>
    </row>
    <row r="686">
      <c r="A686" s="112"/>
      <c r="B686" s="112"/>
      <c r="C686" s="112"/>
      <c r="D686" s="119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09"/>
      <c r="AB686" s="109"/>
      <c r="AC686" s="109"/>
      <c r="AD686" s="109"/>
      <c r="AE686" s="109"/>
      <c r="AF686" s="109"/>
      <c r="AG686" s="109"/>
      <c r="AH686" s="109"/>
      <c r="AI686" s="109"/>
    </row>
    <row r="687">
      <c r="A687" s="112"/>
      <c r="B687" s="112"/>
      <c r="C687" s="112"/>
      <c r="D687" s="119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09"/>
      <c r="AB687" s="109"/>
      <c r="AC687" s="109"/>
      <c r="AD687" s="109"/>
      <c r="AE687" s="109"/>
      <c r="AF687" s="109"/>
      <c r="AG687" s="109"/>
      <c r="AH687" s="109"/>
      <c r="AI687" s="109"/>
    </row>
    <row r="688">
      <c r="A688" s="112"/>
      <c r="B688" s="112"/>
      <c r="C688" s="112"/>
      <c r="D688" s="119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  <c r="AA688" s="109"/>
      <c r="AB688" s="109"/>
      <c r="AC688" s="109"/>
      <c r="AD688" s="109"/>
      <c r="AE688" s="109"/>
      <c r="AF688" s="109"/>
      <c r="AG688" s="109"/>
      <c r="AH688" s="109"/>
      <c r="AI688" s="109"/>
    </row>
    <row r="689">
      <c r="A689" s="112"/>
      <c r="B689" s="112"/>
      <c r="C689" s="112"/>
      <c r="D689" s="119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  <c r="AA689" s="109"/>
      <c r="AB689" s="109"/>
      <c r="AC689" s="109"/>
      <c r="AD689" s="109"/>
      <c r="AE689" s="109"/>
      <c r="AF689" s="109"/>
      <c r="AG689" s="109"/>
      <c r="AH689" s="109"/>
      <c r="AI689" s="109"/>
    </row>
    <row r="690">
      <c r="A690" s="112"/>
      <c r="B690" s="112"/>
      <c r="C690" s="112"/>
      <c r="D690" s="119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09"/>
      <c r="AB690" s="109"/>
      <c r="AC690" s="109"/>
      <c r="AD690" s="109"/>
      <c r="AE690" s="109"/>
      <c r="AF690" s="109"/>
      <c r="AG690" s="109"/>
      <c r="AH690" s="109"/>
      <c r="AI690" s="109"/>
    </row>
    <row r="691">
      <c r="A691" s="112"/>
      <c r="B691" s="112"/>
      <c r="C691" s="112"/>
      <c r="D691" s="119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09"/>
      <c r="AB691" s="109"/>
      <c r="AC691" s="109"/>
      <c r="AD691" s="109"/>
      <c r="AE691" s="109"/>
      <c r="AF691" s="109"/>
      <c r="AG691" s="109"/>
      <c r="AH691" s="109"/>
      <c r="AI691" s="109"/>
    </row>
    <row r="692">
      <c r="A692" s="112"/>
      <c r="B692" s="112"/>
      <c r="C692" s="112"/>
      <c r="D692" s="119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  <c r="AA692" s="109"/>
      <c r="AB692" s="109"/>
      <c r="AC692" s="109"/>
      <c r="AD692" s="109"/>
      <c r="AE692" s="109"/>
      <c r="AF692" s="109"/>
      <c r="AG692" s="109"/>
      <c r="AH692" s="109"/>
      <c r="AI692" s="109"/>
    </row>
    <row r="693">
      <c r="A693" s="112"/>
      <c r="B693" s="112"/>
      <c r="C693" s="112"/>
      <c r="D693" s="119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  <c r="AA693" s="109"/>
      <c r="AB693" s="109"/>
      <c r="AC693" s="109"/>
      <c r="AD693" s="109"/>
      <c r="AE693" s="109"/>
      <c r="AF693" s="109"/>
      <c r="AG693" s="109"/>
      <c r="AH693" s="109"/>
      <c r="AI693" s="109"/>
    </row>
    <row r="694">
      <c r="A694" s="112"/>
      <c r="B694" s="112"/>
      <c r="C694" s="112"/>
      <c r="D694" s="119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  <c r="AA694" s="109"/>
      <c r="AB694" s="109"/>
      <c r="AC694" s="109"/>
      <c r="AD694" s="109"/>
      <c r="AE694" s="109"/>
      <c r="AF694" s="109"/>
      <c r="AG694" s="109"/>
      <c r="AH694" s="109"/>
      <c r="AI694" s="109"/>
    </row>
    <row r="695">
      <c r="A695" s="112"/>
      <c r="B695" s="112"/>
      <c r="C695" s="112"/>
      <c r="D695" s="119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09"/>
      <c r="AB695" s="109"/>
      <c r="AC695" s="109"/>
      <c r="AD695" s="109"/>
      <c r="AE695" s="109"/>
      <c r="AF695" s="109"/>
      <c r="AG695" s="109"/>
      <c r="AH695" s="109"/>
      <c r="AI695" s="109"/>
    </row>
    <row r="696">
      <c r="A696" s="112"/>
      <c r="B696" s="112"/>
      <c r="C696" s="112"/>
      <c r="D696" s="119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  <c r="AA696" s="109"/>
      <c r="AB696" s="109"/>
      <c r="AC696" s="109"/>
      <c r="AD696" s="109"/>
      <c r="AE696" s="109"/>
      <c r="AF696" s="109"/>
      <c r="AG696" s="109"/>
      <c r="AH696" s="109"/>
      <c r="AI696" s="109"/>
    </row>
    <row r="697">
      <c r="A697" s="112"/>
      <c r="B697" s="112"/>
      <c r="C697" s="112"/>
      <c r="D697" s="119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09"/>
      <c r="AB697" s="109"/>
      <c r="AC697" s="109"/>
      <c r="AD697" s="109"/>
      <c r="AE697" s="109"/>
      <c r="AF697" s="109"/>
      <c r="AG697" s="109"/>
      <c r="AH697" s="109"/>
      <c r="AI697" s="109"/>
    </row>
    <row r="698">
      <c r="A698" s="112"/>
      <c r="B698" s="112"/>
      <c r="C698" s="112"/>
      <c r="D698" s="119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  <c r="AA698" s="109"/>
      <c r="AB698" s="109"/>
      <c r="AC698" s="109"/>
      <c r="AD698" s="109"/>
      <c r="AE698" s="109"/>
      <c r="AF698" s="109"/>
      <c r="AG698" s="109"/>
      <c r="AH698" s="109"/>
      <c r="AI698" s="109"/>
    </row>
    <row r="699">
      <c r="A699" s="112"/>
      <c r="B699" s="112"/>
      <c r="C699" s="112"/>
      <c r="D699" s="119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  <c r="AA699" s="109"/>
      <c r="AB699" s="109"/>
      <c r="AC699" s="109"/>
      <c r="AD699" s="109"/>
      <c r="AE699" s="109"/>
      <c r="AF699" s="109"/>
      <c r="AG699" s="109"/>
      <c r="AH699" s="109"/>
      <c r="AI699" s="109"/>
    </row>
    <row r="700">
      <c r="A700" s="112"/>
      <c r="B700" s="112"/>
      <c r="C700" s="112"/>
      <c r="D700" s="119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  <c r="AA700" s="109"/>
      <c r="AB700" s="109"/>
      <c r="AC700" s="109"/>
      <c r="AD700" s="109"/>
      <c r="AE700" s="109"/>
      <c r="AF700" s="109"/>
      <c r="AG700" s="109"/>
      <c r="AH700" s="109"/>
      <c r="AI700" s="109"/>
    </row>
    <row r="701">
      <c r="A701" s="112"/>
      <c r="B701" s="112"/>
      <c r="C701" s="112"/>
      <c r="D701" s="119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  <c r="AA701" s="109"/>
      <c r="AB701" s="109"/>
      <c r="AC701" s="109"/>
      <c r="AD701" s="109"/>
      <c r="AE701" s="109"/>
      <c r="AF701" s="109"/>
      <c r="AG701" s="109"/>
      <c r="AH701" s="109"/>
      <c r="AI701" s="109"/>
    </row>
    <row r="702">
      <c r="A702" s="112"/>
      <c r="B702" s="112"/>
      <c r="C702" s="112"/>
      <c r="D702" s="119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09"/>
      <c r="AB702" s="109"/>
      <c r="AC702" s="109"/>
      <c r="AD702" s="109"/>
      <c r="AE702" s="109"/>
      <c r="AF702" s="109"/>
      <c r="AG702" s="109"/>
      <c r="AH702" s="109"/>
      <c r="AI702" s="109"/>
    </row>
    <row r="703">
      <c r="A703" s="112"/>
      <c r="B703" s="112"/>
      <c r="C703" s="112"/>
      <c r="D703" s="119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  <c r="AA703" s="109"/>
      <c r="AB703" s="109"/>
      <c r="AC703" s="109"/>
      <c r="AD703" s="109"/>
      <c r="AE703" s="109"/>
      <c r="AF703" s="109"/>
      <c r="AG703" s="109"/>
      <c r="AH703" s="109"/>
      <c r="AI703" s="109"/>
    </row>
    <row r="704">
      <c r="A704" s="112"/>
      <c r="B704" s="112"/>
      <c r="C704" s="112"/>
      <c r="D704" s="119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  <c r="AA704" s="109"/>
      <c r="AB704" s="109"/>
      <c r="AC704" s="109"/>
      <c r="AD704" s="109"/>
      <c r="AE704" s="109"/>
      <c r="AF704" s="109"/>
      <c r="AG704" s="109"/>
      <c r="AH704" s="109"/>
      <c r="AI704" s="109"/>
    </row>
    <row r="705">
      <c r="A705" s="112"/>
      <c r="B705" s="112"/>
      <c r="C705" s="112"/>
      <c r="D705" s="119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  <c r="AA705" s="109"/>
      <c r="AB705" s="109"/>
      <c r="AC705" s="109"/>
      <c r="AD705" s="109"/>
      <c r="AE705" s="109"/>
      <c r="AF705" s="109"/>
      <c r="AG705" s="109"/>
      <c r="AH705" s="109"/>
      <c r="AI705" s="109"/>
    </row>
    <row r="706">
      <c r="A706" s="112"/>
      <c r="B706" s="112"/>
      <c r="C706" s="112"/>
      <c r="D706" s="119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09"/>
      <c r="AB706" s="109"/>
      <c r="AC706" s="109"/>
      <c r="AD706" s="109"/>
      <c r="AE706" s="109"/>
      <c r="AF706" s="109"/>
      <c r="AG706" s="109"/>
      <c r="AH706" s="109"/>
      <c r="AI706" s="109"/>
    </row>
    <row r="707">
      <c r="A707" s="112"/>
      <c r="B707" s="112"/>
      <c r="C707" s="112"/>
      <c r="D707" s="119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09"/>
      <c r="AB707" s="109"/>
      <c r="AC707" s="109"/>
      <c r="AD707" s="109"/>
      <c r="AE707" s="109"/>
      <c r="AF707" s="109"/>
      <c r="AG707" s="109"/>
      <c r="AH707" s="109"/>
      <c r="AI707" s="109"/>
    </row>
    <row r="708">
      <c r="A708" s="112"/>
      <c r="B708" s="112"/>
      <c r="C708" s="112"/>
      <c r="D708" s="119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  <c r="AA708" s="109"/>
      <c r="AB708" s="109"/>
      <c r="AC708" s="109"/>
      <c r="AD708" s="109"/>
      <c r="AE708" s="109"/>
      <c r="AF708" s="109"/>
      <c r="AG708" s="109"/>
      <c r="AH708" s="109"/>
      <c r="AI708" s="109"/>
    </row>
    <row r="709">
      <c r="A709" s="112"/>
      <c r="B709" s="112"/>
      <c r="C709" s="112"/>
      <c r="D709" s="119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  <c r="AA709" s="109"/>
      <c r="AB709" s="109"/>
      <c r="AC709" s="109"/>
      <c r="AD709" s="109"/>
      <c r="AE709" s="109"/>
      <c r="AF709" s="109"/>
      <c r="AG709" s="109"/>
      <c r="AH709" s="109"/>
      <c r="AI709" s="109"/>
    </row>
    <row r="710">
      <c r="A710" s="112"/>
      <c r="B710" s="112"/>
      <c r="C710" s="112"/>
      <c r="D710" s="119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  <c r="AA710" s="109"/>
      <c r="AB710" s="109"/>
      <c r="AC710" s="109"/>
      <c r="AD710" s="109"/>
      <c r="AE710" s="109"/>
      <c r="AF710" s="109"/>
      <c r="AG710" s="109"/>
      <c r="AH710" s="109"/>
      <c r="AI710" s="109"/>
    </row>
    <row r="711">
      <c r="A711" s="112"/>
      <c r="B711" s="112"/>
      <c r="C711" s="112"/>
      <c r="D711" s="119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09"/>
      <c r="AB711" s="109"/>
      <c r="AC711" s="109"/>
      <c r="AD711" s="109"/>
      <c r="AE711" s="109"/>
      <c r="AF711" s="109"/>
      <c r="AG711" s="109"/>
      <c r="AH711" s="109"/>
      <c r="AI711" s="109"/>
    </row>
    <row r="712">
      <c r="A712" s="112"/>
      <c r="B712" s="112"/>
      <c r="C712" s="112"/>
      <c r="D712" s="119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09"/>
      <c r="AB712" s="109"/>
      <c r="AC712" s="109"/>
      <c r="AD712" s="109"/>
      <c r="AE712" s="109"/>
      <c r="AF712" s="109"/>
      <c r="AG712" s="109"/>
      <c r="AH712" s="109"/>
      <c r="AI712" s="109"/>
    </row>
    <row r="713">
      <c r="A713" s="112"/>
      <c r="B713" s="112"/>
      <c r="C713" s="112"/>
      <c r="D713" s="119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09"/>
      <c r="AB713" s="109"/>
      <c r="AC713" s="109"/>
      <c r="AD713" s="109"/>
      <c r="AE713" s="109"/>
      <c r="AF713" s="109"/>
      <c r="AG713" s="109"/>
      <c r="AH713" s="109"/>
      <c r="AI713" s="109"/>
    </row>
    <row r="714">
      <c r="A714" s="112"/>
      <c r="B714" s="112"/>
      <c r="C714" s="112"/>
      <c r="D714" s="119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09"/>
      <c r="AB714" s="109"/>
      <c r="AC714" s="109"/>
      <c r="AD714" s="109"/>
      <c r="AE714" s="109"/>
      <c r="AF714" s="109"/>
      <c r="AG714" s="109"/>
      <c r="AH714" s="109"/>
      <c r="AI714" s="109"/>
    </row>
    <row r="715">
      <c r="A715" s="112"/>
      <c r="B715" s="112"/>
      <c r="C715" s="112"/>
      <c r="D715" s="119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09"/>
      <c r="AB715" s="109"/>
      <c r="AC715" s="109"/>
      <c r="AD715" s="109"/>
      <c r="AE715" s="109"/>
      <c r="AF715" s="109"/>
      <c r="AG715" s="109"/>
      <c r="AH715" s="109"/>
      <c r="AI715" s="109"/>
    </row>
    <row r="716">
      <c r="A716" s="112"/>
      <c r="B716" s="112"/>
      <c r="C716" s="112"/>
      <c r="D716" s="119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09"/>
      <c r="AB716" s="109"/>
      <c r="AC716" s="109"/>
      <c r="AD716" s="109"/>
      <c r="AE716" s="109"/>
      <c r="AF716" s="109"/>
      <c r="AG716" s="109"/>
      <c r="AH716" s="109"/>
      <c r="AI716" s="109"/>
    </row>
    <row r="717">
      <c r="A717" s="112"/>
      <c r="B717" s="112"/>
      <c r="C717" s="112"/>
      <c r="D717" s="119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09"/>
      <c r="AB717" s="109"/>
      <c r="AC717" s="109"/>
      <c r="AD717" s="109"/>
      <c r="AE717" s="109"/>
      <c r="AF717" s="109"/>
      <c r="AG717" s="109"/>
      <c r="AH717" s="109"/>
      <c r="AI717" s="109"/>
    </row>
    <row r="718">
      <c r="A718" s="112"/>
      <c r="B718" s="112"/>
      <c r="C718" s="112"/>
      <c r="D718" s="119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09"/>
      <c r="AB718" s="109"/>
      <c r="AC718" s="109"/>
      <c r="AD718" s="109"/>
      <c r="AE718" s="109"/>
      <c r="AF718" s="109"/>
      <c r="AG718" s="109"/>
      <c r="AH718" s="109"/>
      <c r="AI718" s="109"/>
    </row>
    <row r="719">
      <c r="A719" s="112"/>
      <c r="B719" s="112"/>
      <c r="C719" s="112"/>
      <c r="D719" s="119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09"/>
      <c r="AB719" s="109"/>
      <c r="AC719" s="109"/>
      <c r="AD719" s="109"/>
      <c r="AE719" s="109"/>
      <c r="AF719" s="109"/>
      <c r="AG719" s="109"/>
      <c r="AH719" s="109"/>
      <c r="AI719" s="109"/>
    </row>
    <row r="720">
      <c r="A720" s="112"/>
      <c r="B720" s="112"/>
      <c r="C720" s="112"/>
      <c r="D720" s="119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09"/>
      <c r="AB720" s="109"/>
      <c r="AC720" s="109"/>
      <c r="AD720" s="109"/>
      <c r="AE720" s="109"/>
      <c r="AF720" s="109"/>
      <c r="AG720" s="109"/>
      <c r="AH720" s="109"/>
      <c r="AI720" s="109"/>
    </row>
    <row r="721">
      <c r="A721" s="112"/>
      <c r="B721" s="112"/>
      <c r="C721" s="112"/>
      <c r="D721" s="119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09"/>
      <c r="AB721" s="109"/>
      <c r="AC721" s="109"/>
      <c r="AD721" s="109"/>
      <c r="AE721" s="109"/>
      <c r="AF721" s="109"/>
      <c r="AG721" s="109"/>
      <c r="AH721" s="109"/>
      <c r="AI721" s="109"/>
    </row>
    <row r="722">
      <c r="A722" s="112"/>
      <c r="B722" s="112"/>
      <c r="C722" s="112"/>
      <c r="D722" s="119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09"/>
      <c r="AB722" s="109"/>
      <c r="AC722" s="109"/>
      <c r="AD722" s="109"/>
      <c r="AE722" s="109"/>
      <c r="AF722" s="109"/>
      <c r="AG722" s="109"/>
      <c r="AH722" s="109"/>
      <c r="AI722" s="109"/>
    </row>
    <row r="723">
      <c r="A723" s="112"/>
      <c r="B723" s="112"/>
      <c r="C723" s="112"/>
      <c r="D723" s="119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09"/>
      <c r="AB723" s="109"/>
      <c r="AC723" s="109"/>
      <c r="AD723" s="109"/>
      <c r="AE723" s="109"/>
      <c r="AF723" s="109"/>
      <c r="AG723" s="109"/>
      <c r="AH723" s="109"/>
      <c r="AI723" s="109"/>
    </row>
    <row r="724">
      <c r="A724" s="112"/>
      <c r="B724" s="112"/>
      <c r="C724" s="112"/>
      <c r="D724" s="119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09"/>
      <c r="AB724" s="109"/>
      <c r="AC724" s="109"/>
      <c r="AD724" s="109"/>
      <c r="AE724" s="109"/>
      <c r="AF724" s="109"/>
      <c r="AG724" s="109"/>
      <c r="AH724" s="109"/>
      <c r="AI724" s="109"/>
    </row>
    <row r="725">
      <c r="A725" s="112"/>
      <c r="B725" s="112"/>
      <c r="C725" s="112"/>
      <c r="D725" s="119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09"/>
      <c r="AB725" s="109"/>
      <c r="AC725" s="109"/>
      <c r="AD725" s="109"/>
      <c r="AE725" s="109"/>
      <c r="AF725" s="109"/>
      <c r="AG725" s="109"/>
      <c r="AH725" s="109"/>
      <c r="AI725" s="109"/>
    </row>
    <row r="726">
      <c r="A726" s="112"/>
      <c r="B726" s="112"/>
      <c r="C726" s="112"/>
      <c r="D726" s="119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09"/>
      <c r="AB726" s="109"/>
      <c r="AC726" s="109"/>
      <c r="AD726" s="109"/>
      <c r="AE726" s="109"/>
      <c r="AF726" s="109"/>
      <c r="AG726" s="109"/>
      <c r="AH726" s="109"/>
      <c r="AI726" s="109"/>
    </row>
    <row r="727">
      <c r="A727" s="112"/>
      <c r="B727" s="112"/>
      <c r="C727" s="112"/>
      <c r="D727" s="119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09"/>
      <c r="AB727" s="109"/>
      <c r="AC727" s="109"/>
      <c r="AD727" s="109"/>
      <c r="AE727" s="109"/>
      <c r="AF727" s="109"/>
      <c r="AG727" s="109"/>
      <c r="AH727" s="109"/>
      <c r="AI727" s="109"/>
    </row>
    <row r="728">
      <c r="A728" s="112"/>
      <c r="B728" s="112"/>
      <c r="C728" s="112"/>
      <c r="D728" s="119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09"/>
      <c r="AB728" s="109"/>
      <c r="AC728" s="109"/>
      <c r="AD728" s="109"/>
      <c r="AE728" s="109"/>
      <c r="AF728" s="109"/>
      <c r="AG728" s="109"/>
      <c r="AH728" s="109"/>
      <c r="AI728" s="109"/>
    </row>
    <row r="729">
      <c r="A729" s="112"/>
      <c r="B729" s="112"/>
      <c r="C729" s="112"/>
      <c r="D729" s="119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09"/>
      <c r="AB729" s="109"/>
      <c r="AC729" s="109"/>
      <c r="AD729" s="109"/>
      <c r="AE729" s="109"/>
      <c r="AF729" s="109"/>
      <c r="AG729" s="109"/>
      <c r="AH729" s="109"/>
      <c r="AI729" s="109"/>
    </row>
    <row r="730">
      <c r="A730" s="112"/>
      <c r="B730" s="112"/>
      <c r="C730" s="112"/>
      <c r="D730" s="119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09"/>
      <c r="AB730" s="109"/>
      <c r="AC730" s="109"/>
      <c r="AD730" s="109"/>
      <c r="AE730" s="109"/>
      <c r="AF730" s="109"/>
      <c r="AG730" s="109"/>
      <c r="AH730" s="109"/>
      <c r="AI730" s="109"/>
    </row>
    <row r="731">
      <c r="A731" s="112"/>
      <c r="B731" s="112"/>
      <c r="C731" s="112"/>
      <c r="D731" s="119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09"/>
      <c r="AB731" s="109"/>
      <c r="AC731" s="109"/>
      <c r="AD731" s="109"/>
      <c r="AE731" s="109"/>
      <c r="AF731" s="109"/>
      <c r="AG731" s="109"/>
      <c r="AH731" s="109"/>
      <c r="AI731" s="109"/>
    </row>
    <row r="732">
      <c r="A732" s="112"/>
      <c r="B732" s="112"/>
      <c r="C732" s="112"/>
      <c r="D732" s="119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09"/>
      <c r="AB732" s="109"/>
      <c r="AC732" s="109"/>
      <c r="AD732" s="109"/>
      <c r="AE732" s="109"/>
      <c r="AF732" s="109"/>
      <c r="AG732" s="109"/>
      <c r="AH732" s="109"/>
      <c r="AI732" s="109"/>
    </row>
    <row r="733">
      <c r="A733" s="112"/>
      <c r="B733" s="112"/>
      <c r="C733" s="112"/>
      <c r="D733" s="119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09"/>
      <c r="AB733" s="109"/>
      <c r="AC733" s="109"/>
      <c r="AD733" s="109"/>
      <c r="AE733" s="109"/>
      <c r="AF733" s="109"/>
      <c r="AG733" s="109"/>
      <c r="AH733" s="109"/>
      <c r="AI733" s="109"/>
    </row>
    <row r="734">
      <c r="A734" s="112"/>
      <c r="B734" s="112"/>
      <c r="C734" s="112"/>
      <c r="D734" s="119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09"/>
      <c r="AB734" s="109"/>
      <c r="AC734" s="109"/>
      <c r="AD734" s="109"/>
      <c r="AE734" s="109"/>
      <c r="AF734" s="109"/>
      <c r="AG734" s="109"/>
      <c r="AH734" s="109"/>
      <c r="AI734" s="109"/>
    </row>
    <row r="735">
      <c r="A735" s="112"/>
      <c r="B735" s="112"/>
      <c r="C735" s="112"/>
      <c r="D735" s="119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09"/>
      <c r="AB735" s="109"/>
      <c r="AC735" s="109"/>
      <c r="AD735" s="109"/>
      <c r="AE735" s="109"/>
      <c r="AF735" s="109"/>
      <c r="AG735" s="109"/>
      <c r="AH735" s="109"/>
      <c r="AI735" s="109"/>
    </row>
    <row r="736">
      <c r="A736" s="112"/>
      <c r="B736" s="112"/>
      <c r="C736" s="112"/>
      <c r="D736" s="119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09"/>
      <c r="AB736" s="109"/>
      <c r="AC736" s="109"/>
      <c r="AD736" s="109"/>
      <c r="AE736" s="109"/>
      <c r="AF736" s="109"/>
      <c r="AG736" s="109"/>
      <c r="AH736" s="109"/>
      <c r="AI736" s="109"/>
    </row>
    <row r="737">
      <c r="A737" s="112"/>
      <c r="B737" s="112"/>
      <c r="C737" s="112"/>
      <c r="D737" s="119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09"/>
      <c r="AB737" s="109"/>
      <c r="AC737" s="109"/>
      <c r="AD737" s="109"/>
      <c r="AE737" s="109"/>
      <c r="AF737" s="109"/>
      <c r="AG737" s="109"/>
      <c r="AH737" s="109"/>
      <c r="AI737" s="109"/>
    </row>
    <row r="738">
      <c r="A738" s="112"/>
      <c r="B738" s="112"/>
      <c r="C738" s="112"/>
      <c r="D738" s="119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09"/>
      <c r="AB738" s="109"/>
      <c r="AC738" s="109"/>
      <c r="AD738" s="109"/>
      <c r="AE738" s="109"/>
      <c r="AF738" s="109"/>
      <c r="AG738" s="109"/>
      <c r="AH738" s="109"/>
      <c r="AI738" s="109"/>
    </row>
    <row r="739">
      <c r="A739" s="112"/>
      <c r="B739" s="112"/>
      <c r="C739" s="112"/>
      <c r="D739" s="119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09"/>
      <c r="AB739" s="109"/>
      <c r="AC739" s="109"/>
      <c r="AD739" s="109"/>
      <c r="AE739" s="109"/>
      <c r="AF739" s="109"/>
      <c r="AG739" s="109"/>
      <c r="AH739" s="109"/>
      <c r="AI739" s="109"/>
    </row>
    <row r="740">
      <c r="A740" s="112"/>
      <c r="B740" s="112"/>
      <c r="C740" s="112"/>
      <c r="D740" s="119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09"/>
      <c r="AB740" s="109"/>
      <c r="AC740" s="109"/>
      <c r="AD740" s="109"/>
      <c r="AE740" s="109"/>
      <c r="AF740" s="109"/>
      <c r="AG740" s="109"/>
      <c r="AH740" s="109"/>
      <c r="AI740" s="109"/>
    </row>
    <row r="741">
      <c r="A741" s="112"/>
      <c r="B741" s="112"/>
      <c r="C741" s="112"/>
      <c r="D741" s="119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09"/>
      <c r="AB741" s="109"/>
      <c r="AC741" s="109"/>
      <c r="AD741" s="109"/>
      <c r="AE741" s="109"/>
      <c r="AF741" s="109"/>
      <c r="AG741" s="109"/>
      <c r="AH741" s="109"/>
      <c r="AI741" s="109"/>
    </row>
    <row r="742">
      <c r="A742" s="112"/>
      <c r="B742" s="112"/>
      <c r="C742" s="112"/>
      <c r="D742" s="119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09"/>
      <c r="AB742" s="109"/>
      <c r="AC742" s="109"/>
      <c r="AD742" s="109"/>
      <c r="AE742" s="109"/>
      <c r="AF742" s="109"/>
      <c r="AG742" s="109"/>
      <c r="AH742" s="109"/>
      <c r="AI742" s="109"/>
    </row>
    <row r="743">
      <c r="A743" s="112"/>
      <c r="B743" s="112"/>
      <c r="C743" s="112"/>
      <c r="D743" s="119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09"/>
      <c r="AB743" s="109"/>
      <c r="AC743" s="109"/>
      <c r="AD743" s="109"/>
      <c r="AE743" s="109"/>
      <c r="AF743" s="109"/>
      <c r="AG743" s="109"/>
      <c r="AH743" s="109"/>
      <c r="AI743" s="109"/>
    </row>
    <row r="744">
      <c r="A744" s="112"/>
      <c r="B744" s="112"/>
      <c r="C744" s="112"/>
      <c r="D744" s="119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09"/>
      <c r="AB744" s="109"/>
      <c r="AC744" s="109"/>
      <c r="AD744" s="109"/>
      <c r="AE744" s="109"/>
      <c r="AF744" s="109"/>
      <c r="AG744" s="109"/>
      <c r="AH744" s="109"/>
      <c r="AI744" s="109"/>
    </row>
    <row r="745">
      <c r="A745" s="112"/>
      <c r="B745" s="112"/>
      <c r="C745" s="112"/>
      <c r="D745" s="119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09"/>
      <c r="AB745" s="109"/>
      <c r="AC745" s="109"/>
      <c r="AD745" s="109"/>
      <c r="AE745" s="109"/>
      <c r="AF745" s="109"/>
      <c r="AG745" s="109"/>
      <c r="AH745" s="109"/>
      <c r="AI745" s="109"/>
    </row>
    <row r="746">
      <c r="A746" s="112"/>
      <c r="B746" s="112"/>
      <c r="C746" s="112"/>
      <c r="D746" s="119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09"/>
      <c r="AB746" s="109"/>
      <c r="AC746" s="109"/>
      <c r="AD746" s="109"/>
      <c r="AE746" s="109"/>
      <c r="AF746" s="109"/>
      <c r="AG746" s="109"/>
      <c r="AH746" s="109"/>
      <c r="AI746" s="109"/>
    </row>
    <row r="747">
      <c r="A747" s="112"/>
      <c r="B747" s="112"/>
      <c r="C747" s="112"/>
      <c r="D747" s="119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09"/>
      <c r="AB747" s="109"/>
      <c r="AC747" s="109"/>
      <c r="AD747" s="109"/>
      <c r="AE747" s="109"/>
      <c r="AF747" s="109"/>
      <c r="AG747" s="109"/>
      <c r="AH747" s="109"/>
      <c r="AI747" s="109"/>
    </row>
    <row r="748">
      <c r="A748" s="112"/>
      <c r="B748" s="112"/>
      <c r="C748" s="112"/>
      <c r="D748" s="119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09"/>
      <c r="AB748" s="109"/>
      <c r="AC748" s="109"/>
      <c r="AD748" s="109"/>
      <c r="AE748" s="109"/>
      <c r="AF748" s="109"/>
      <c r="AG748" s="109"/>
      <c r="AH748" s="109"/>
      <c r="AI748" s="109"/>
    </row>
    <row r="749">
      <c r="A749" s="112"/>
      <c r="B749" s="112"/>
      <c r="C749" s="112"/>
      <c r="D749" s="119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09"/>
      <c r="AB749" s="109"/>
      <c r="AC749" s="109"/>
      <c r="AD749" s="109"/>
      <c r="AE749" s="109"/>
      <c r="AF749" s="109"/>
      <c r="AG749" s="109"/>
      <c r="AH749" s="109"/>
      <c r="AI749" s="109"/>
    </row>
    <row r="750">
      <c r="A750" s="112"/>
      <c r="B750" s="112"/>
      <c r="C750" s="112"/>
      <c r="D750" s="119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  <c r="AA750" s="109"/>
      <c r="AB750" s="109"/>
      <c r="AC750" s="109"/>
      <c r="AD750" s="109"/>
      <c r="AE750" s="109"/>
      <c r="AF750" s="109"/>
      <c r="AG750" s="109"/>
      <c r="AH750" s="109"/>
      <c r="AI750" s="109"/>
    </row>
    <row r="751">
      <c r="A751" s="112"/>
      <c r="B751" s="112"/>
      <c r="C751" s="112"/>
      <c r="D751" s="119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09"/>
      <c r="AB751" s="109"/>
      <c r="AC751" s="109"/>
      <c r="AD751" s="109"/>
      <c r="AE751" s="109"/>
      <c r="AF751" s="109"/>
      <c r="AG751" s="109"/>
      <c r="AH751" s="109"/>
      <c r="AI751" s="109"/>
    </row>
    <row r="752">
      <c r="A752" s="112"/>
      <c r="B752" s="112"/>
      <c r="C752" s="112"/>
      <c r="D752" s="119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09"/>
      <c r="AB752" s="109"/>
      <c r="AC752" s="109"/>
      <c r="AD752" s="109"/>
      <c r="AE752" s="109"/>
      <c r="AF752" s="109"/>
      <c r="AG752" s="109"/>
      <c r="AH752" s="109"/>
      <c r="AI752" s="109"/>
    </row>
    <row r="753">
      <c r="A753" s="112"/>
      <c r="B753" s="112"/>
      <c r="C753" s="112"/>
      <c r="D753" s="119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09"/>
      <c r="AB753" s="109"/>
      <c r="AC753" s="109"/>
      <c r="AD753" s="109"/>
      <c r="AE753" s="109"/>
      <c r="AF753" s="109"/>
      <c r="AG753" s="109"/>
      <c r="AH753" s="109"/>
      <c r="AI753" s="109"/>
    </row>
    <row r="754">
      <c r="A754" s="112"/>
      <c r="B754" s="112"/>
      <c r="C754" s="112"/>
      <c r="D754" s="119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09"/>
      <c r="AB754" s="109"/>
      <c r="AC754" s="109"/>
      <c r="AD754" s="109"/>
      <c r="AE754" s="109"/>
      <c r="AF754" s="109"/>
      <c r="AG754" s="109"/>
      <c r="AH754" s="109"/>
      <c r="AI754" s="109"/>
    </row>
    <row r="755">
      <c r="A755" s="112"/>
      <c r="B755" s="112"/>
      <c r="C755" s="112"/>
      <c r="D755" s="119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09"/>
      <c r="AB755" s="109"/>
      <c r="AC755" s="109"/>
      <c r="AD755" s="109"/>
      <c r="AE755" s="109"/>
      <c r="AF755" s="109"/>
      <c r="AG755" s="109"/>
      <c r="AH755" s="109"/>
      <c r="AI755" s="109"/>
    </row>
    <row r="756">
      <c r="A756" s="112"/>
      <c r="B756" s="112"/>
      <c r="C756" s="112"/>
      <c r="D756" s="119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09"/>
      <c r="AB756" s="109"/>
      <c r="AC756" s="109"/>
      <c r="AD756" s="109"/>
      <c r="AE756" s="109"/>
      <c r="AF756" s="109"/>
      <c r="AG756" s="109"/>
      <c r="AH756" s="109"/>
      <c r="AI756" s="109"/>
    </row>
    <row r="757">
      <c r="A757" s="112"/>
      <c r="B757" s="112"/>
      <c r="C757" s="112"/>
      <c r="D757" s="119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09"/>
      <c r="AB757" s="109"/>
      <c r="AC757" s="109"/>
      <c r="AD757" s="109"/>
      <c r="AE757" s="109"/>
      <c r="AF757" s="109"/>
      <c r="AG757" s="109"/>
      <c r="AH757" s="109"/>
      <c r="AI757" s="109"/>
    </row>
    <row r="758">
      <c r="A758" s="112"/>
      <c r="B758" s="112"/>
      <c r="C758" s="112"/>
      <c r="D758" s="119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  <c r="AA758" s="109"/>
      <c r="AB758" s="109"/>
      <c r="AC758" s="109"/>
      <c r="AD758" s="109"/>
      <c r="AE758" s="109"/>
      <c r="AF758" s="109"/>
      <c r="AG758" s="109"/>
      <c r="AH758" s="109"/>
      <c r="AI758" s="109"/>
    </row>
    <row r="759">
      <c r="A759" s="112"/>
      <c r="B759" s="112"/>
      <c r="C759" s="112"/>
      <c r="D759" s="119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  <c r="AA759" s="109"/>
      <c r="AB759" s="109"/>
      <c r="AC759" s="109"/>
      <c r="AD759" s="109"/>
      <c r="AE759" s="109"/>
      <c r="AF759" s="109"/>
      <c r="AG759" s="109"/>
      <c r="AH759" s="109"/>
      <c r="AI759" s="109"/>
    </row>
    <row r="760">
      <c r="A760" s="112"/>
      <c r="B760" s="112"/>
      <c r="C760" s="112"/>
      <c r="D760" s="119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  <c r="AA760" s="109"/>
      <c r="AB760" s="109"/>
      <c r="AC760" s="109"/>
      <c r="AD760" s="109"/>
      <c r="AE760" s="109"/>
      <c r="AF760" s="109"/>
      <c r="AG760" s="109"/>
      <c r="AH760" s="109"/>
      <c r="AI760" s="109"/>
    </row>
    <row r="761">
      <c r="A761" s="112"/>
      <c r="B761" s="112"/>
      <c r="C761" s="112"/>
      <c r="D761" s="119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  <c r="AA761" s="109"/>
      <c r="AB761" s="109"/>
      <c r="AC761" s="109"/>
      <c r="AD761" s="109"/>
      <c r="AE761" s="109"/>
      <c r="AF761" s="109"/>
      <c r="AG761" s="109"/>
      <c r="AH761" s="109"/>
      <c r="AI761" s="109"/>
    </row>
    <row r="762">
      <c r="A762" s="112"/>
      <c r="B762" s="112"/>
      <c r="C762" s="112"/>
      <c r="D762" s="119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  <c r="AA762" s="109"/>
      <c r="AB762" s="109"/>
      <c r="AC762" s="109"/>
      <c r="AD762" s="109"/>
      <c r="AE762" s="109"/>
      <c r="AF762" s="109"/>
      <c r="AG762" s="109"/>
      <c r="AH762" s="109"/>
      <c r="AI762" s="109"/>
    </row>
    <row r="763">
      <c r="A763" s="112"/>
      <c r="B763" s="112"/>
      <c r="C763" s="112"/>
      <c r="D763" s="119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  <c r="AA763" s="109"/>
      <c r="AB763" s="109"/>
      <c r="AC763" s="109"/>
      <c r="AD763" s="109"/>
      <c r="AE763" s="109"/>
      <c r="AF763" s="109"/>
      <c r="AG763" s="109"/>
      <c r="AH763" s="109"/>
      <c r="AI763" s="109"/>
    </row>
    <row r="764">
      <c r="A764" s="112"/>
      <c r="B764" s="112"/>
      <c r="C764" s="112"/>
      <c r="D764" s="119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  <c r="AA764" s="109"/>
      <c r="AB764" s="109"/>
      <c r="AC764" s="109"/>
      <c r="AD764" s="109"/>
      <c r="AE764" s="109"/>
      <c r="AF764" s="109"/>
      <c r="AG764" s="109"/>
      <c r="AH764" s="109"/>
      <c r="AI764" s="109"/>
    </row>
    <row r="765">
      <c r="A765" s="112"/>
      <c r="B765" s="112"/>
      <c r="C765" s="112"/>
      <c r="D765" s="119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  <c r="AA765" s="109"/>
      <c r="AB765" s="109"/>
      <c r="AC765" s="109"/>
      <c r="AD765" s="109"/>
      <c r="AE765" s="109"/>
      <c r="AF765" s="109"/>
      <c r="AG765" s="109"/>
      <c r="AH765" s="109"/>
      <c r="AI765" s="109"/>
    </row>
    <row r="766">
      <c r="A766" s="112"/>
      <c r="B766" s="112"/>
      <c r="C766" s="112"/>
      <c r="D766" s="119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  <c r="AA766" s="109"/>
      <c r="AB766" s="109"/>
      <c r="AC766" s="109"/>
      <c r="AD766" s="109"/>
      <c r="AE766" s="109"/>
      <c r="AF766" s="109"/>
      <c r="AG766" s="109"/>
      <c r="AH766" s="109"/>
      <c r="AI766" s="109"/>
    </row>
    <row r="767">
      <c r="A767" s="112"/>
      <c r="B767" s="112"/>
      <c r="C767" s="112"/>
      <c r="D767" s="119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  <c r="AA767" s="109"/>
      <c r="AB767" s="109"/>
      <c r="AC767" s="109"/>
      <c r="AD767" s="109"/>
      <c r="AE767" s="109"/>
      <c r="AF767" s="109"/>
      <c r="AG767" s="109"/>
      <c r="AH767" s="109"/>
      <c r="AI767" s="109"/>
    </row>
    <row r="768">
      <c r="A768" s="112"/>
      <c r="B768" s="112"/>
      <c r="C768" s="112"/>
      <c r="D768" s="119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  <c r="AA768" s="109"/>
      <c r="AB768" s="109"/>
      <c r="AC768" s="109"/>
      <c r="AD768" s="109"/>
      <c r="AE768" s="109"/>
      <c r="AF768" s="109"/>
      <c r="AG768" s="109"/>
      <c r="AH768" s="109"/>
      <c r="AI768" s="109"/>
    </row>
    <row r="769">
      <c r="A769" s="112"/>
      <c r="B769" s="112"/>
      <c r="C769" s="112"/>
      <c r="D769" s="119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  <c r="AA769" s="109"/>
      <c r="AB769" s="109"/>
      <c r="AC769" s="109"/>
      <c r="AD769" s="109"/>
      <c r="AE769" s="109"/>
      <c r="AF769" s="109"/>
      <c r="AG769" s="109"/>
      <c r="AH769" s="109"/>
      <c r="AI769" s="109"/>
    </row>
    <row r="770">
      <c r="A770" s="112"/>
      <c r="B770" s="112"/>
      <c r="C770" s="112"/>
      <c r="D770" s="119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  <c r="AA770" s="109"/>
      <c r="AB770" s="109"/>
      <c r="AC770" s="109"/>
      <c r="AD770" s="109"/>
      <c r="AE770" s="109"/>
      <c r="AF770" s="109"/>
      <c r="AG770" s="109"/>
      <c r="AH770" s="109"/>
      <c r="AI770" s="109"/>
    </row>
    <row r="771">
      <c r="A771" s="112"/>
      <c r="B771" s="112"/>
      <c r="C771" s="112"/>
      <c r="D771" s="119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  <c r="AA771" s="109"/>
      <c r="AB771" s="109"/>
      <c r="AC771" s="109"/>
      <c r="AD771" s="109"/>
      <c r="AE771" s="109"/>
      <c r="AF771" s="109"/>
      <c r="AG771" s="109"/>
      <c r="AH771" s="109"/>
      <c r="AI771" s="109"/>
    </row>
    <row r="772">
      <c r="A772" s="112"/>
      <c r="B772" s="112"/>
      <c r="C772" s="112"/>
      <c r="D772" s="119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  <c r="AA772" s="109"/>
      <c r="AB772" s="109"/>
      <c r="AC772" s="109"/>
      <c r="AD772" s="109"/>
      <c r="AE772" s="109"/>
      <c r="AF772" s="109"/>
      <c r="AG772" s="109"/>
      <c r="AH772" s="109"/>
      <c r="AI772" s="109"/>
    </row>
    <row r="773">
      <c r="A773" s="112"/>
      <c r="B773" s="112"/>
      <c r="C773" s="112"/>
      <c r="D773" s="119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  <c r="AA773" s="109"/>
      <c r="AB773" s="109"/>
      <c r="AC773" s="109"/>
      <c r="AD773" s="109"/>
      <c r="AE773" s="109"/>
      <c r="AF773" s="109"/>
      <c r="AG773" s="109"/>
      <c r="AH773" s="109"/>
      <c r="AI773" s="109"/>
    </row>
    <row r="774">
      <c r="A774" s="112"/>
      <c r="B774" s="112"/>
      <c r="C774" s="112"/>
      <c r="D774" s="119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  <c r="AA774" s="109"/>
      <c r="AB774" s="109"/>
      <c r="AC774" s="109"/>
      <c r="AD774" s="109"/>
      <c r="AE774" s="109"/>
      <c r="AF774" s="109"/>
      <c r="AG774" s="109"/>
      <c r="AH774" s="109"/>
      <c r="AI774" s="109"/>
    </row>
    <row r="775">
      <c r="A775" s="112"/>
      <c r="B775" s="112"/>
      <c r="C775" s="112"/>
      <c r="D775" s="119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  <c r="AA775" s="109"/>
      <c r="AB775" s="109"/>
      <c r="AC775" s="109"/>
      <c r="AD775" s="109"/>
      <c r="AE775" s="109"/>
      <c r="AF775" s="109"/>
      <c r="AG775" s="109"/>
      <c r="AH775" s="109"/>
      <c r="AI775" s="109"/>
    </row>
    <row r="776">
      <c r="A776" s="112"/>
      <c r="B776" s="112"/>
      <c r="C776" s="112"/>
      <c r="D776" s="119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  <c r="AA776" s="109"/>
      <c r="AB776" s="109"/>
      <c r="AC776" s="109"/>
      <c r="AD776" s="109"/>
      <c r="AE776" s="109"/>
      <c r="AF776" s="109"/>
      <c r="AG776" s="109"/>
      <c r="AH776" s="109"/>
      <c r="AI776" s="109"/>
    </row>
    <row r="777">
      <c r="A777" s="112"/>
      <c r="B777" s="112"/>
      <c r="C777" s="112"/>
      <c r="D777" s="119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  <c r="AA777" s="109"/>
      <c r="AB777" s="109"/>
      <c r="AC777" s="109"/>
      <c r="AD777" s="109"/>
      <c r="AE777" s="109"/>
      <c r="AF777" s="109"/>
      <c r="AG777" s="109"/>
      <c r="AH777" s="109"/>
      <c r="AI777" s="109"/>
    </row>
    <row r="778">
      <c r="A778" s="112"/>
      <c r="B778" s="112"/>
      <c r="C778" s="112"/>
      <c r="D778" s="119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  <c r="AA778" s="109"/>
      <c r="AB778" s="109"/>
      <c r="AC778" s="109"/>
      <c r="AD778" s="109"/>
      <c r="AE778" s="109"/>
      <c r="AF778" s="109"/>
      <c r="AG778" s="109"/>
      <c r="AH778" s="109"/>
      <c r="AI778" s="109"/>
    </row>
    <row r="779">
      <c r="A779" s="112"/>
      <c r="B779" s="112"/>
      <c r="C779" s="112"/>
      <c r="D779" s="119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  <c r="AA779" s="109"/>
      <c r="AB779" s="109"/>
      <c r="AC779" s="109"/>
      <c r="AD779" s="109"/>
      <c r="AE779" s="109"/>
      <c r="AF779" s="109"/>
      <c r="AG779" s="109"/>
      <c r="AH779" s="109"/>
      <c r="AI779" s="109"/>
    </row>
    <row r="780">
      <c r="A780" s="112"/>
      <c r="B780" s="112"/>
      <c r="C780" s="112"/>
      <c r="D780" s="119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09"/>
      <c r="AB780" s="109"/>
      <c r="AC780" s="109"/>
      <c r="AD780" s="109"/>
      <c r="AE780" s="109"/>
      <c r="AF780" s="109"/>
      <c r="AG780" s="109"/>
      <c r="AH780" s="109"/>
      <c r="AI780" s="109"/>
    </row>
    <row r="781">
      <c r="A781" s="112"/>
      <c r="B781" s="112"/>
      <c r="C781" s="112"/>
      <c r="D781" s="119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09"/>
      <c r="AB781" s="109"/>
      <c r="AC781" s="109"/>
      <c r="AD781" s="109"/>
      <c r="AE781" s="109"/>
      <c r="AF781" s="109"/>
      <c r="AG781" s="109"/>
      <c r="AH781" s="109"/>
      <c r="AI781" s="109"/>
    </row>
    <row r="782">
      <c r="A782" s="112"/>
      <c r="B782" s="112"/>
      <c r="C782" s="112"/>
      <c r="D782" s="119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09"/>
      <c r="AB782" s="109"/>
      <c r="AC782" s="109"/>
      <c r="AD782" s="109"/>
      <c r="AE782" s="109"/>
      <c r="AF782" s="109"/>
      <c r="AG782" s="109"/>
      <c r="AH782" s="109"/>
      <c r="AI782" s="109"/>
    </row>
    <row r="783">
      <c r="A783" s="112"/>
      <c r="B783" s="112"/>
      <c r="C783" s="112"/>
      <c r="D783" s="119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09"/>
      <c r="AB783" s="109"/>
      <c r="AC783" s="109"/>
      <c r="AD783" s="109"/>
      <c r="AE783" s="109"/>
      <c r="AF783" s="109"/>
      <c r="AG783" s="109"/>
      <c r="AH783" s="109"/>
      <c r="AI783" s="109"/>
    </row>
    <row r="784">
      <c r="A784" s="112"/>
      <c r="B784" s="112"/>
      <c r="C784" s="112"/>
      <c r="D784" s="119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09"/>
      <c r="AB784" s="109"/>
      <c r="AC784" s="109"/>
      <c r="AD784" s="109"/>
      <c r="AE784" s="109"/>
      <c r="AF784" s="109"/>
      <c r="AG784" s="109"/>
      <c r="AH784" s="109"/>
      <c r="AI784" s="109"/>
    </row>
    <row r="785">
      <c r="A785" s="112"/>
      <c r="B785" s="112"/>
      <c r="C785" s="112"/>
      <c r="D785" s="119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09"/>
      <c r="AB785" s="109"/>
      <c r="AC785" s="109"/>
      <c r="AD785" s="109"/>
      <c r="AE785" s="109"/>
      <c r="AF785" s="109"/>
      <c r="AG785" s="109"/>
      <c r="AH785" s="109"/>
      <c r="AI785" s="109"/>
    </row>
    <row r="786">
      <c r="A786" s="112"/>
      <c r="B786" s="112"/>
      <c r="C786" s="112"/>
      <c r="D786" s="119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  <c r="AA786" s="109"/>
      <c r="AB786" s="109"/>
      <c r="AC786" s="109"/>
      <c r="AD786" s="109"/>
      <c r="AE786" s="109"/>
      <c r="AF786" s="109"/>
      <c r="AG786" s="109"/>
      <c r="AH786" s="109"/>
      <c r="AI786" s="109"/>
    </row>
    <row r="787">
      <c r="A787" s="112"/>
      <c r="B787" s="112"/>
      <c r="C787" s="112"/>
      <c r="D787" s="119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  <c r="AA787" s="109"/>
      <c r="AB787" s="109"/>
      <c r="AC787" s="109"/>
      <c r="AD787" s="109"/>
      <c r="AE787" s="109"/>
      <c r="AF787" s="109"/>
      <c r="AG787" s="109"/>
      <c r="AH787" s="109"/>
      <c r="AI787" s="109"/>
    </row>
    <row r="788">
      <c r="A788" s="112"/>
      <c r="B788" s="112"/>
      <c r="C788" s="112"/>
      <c r="D788" s="119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09"/>
      <c r="AB788" s="109"/>
      <c r="AC788" s="109"/>
      <c r="AD788" s="109"/>
      <c r="AE788" s="109"/>
      <c r="AF788" s="109"/>
      <c r="AG788" s="109"/>
      <c r="AH788" s="109"/>
      <c r="AI788" s="109"/>
    </row>
    <row r="789">
      <c r="A789" s="112"/>
      <c r="B789" s="112"/>
      <c r="C789" s="112"/>
      <c r="D789" s="119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09"/>
      <c r="AB789" s="109"/>
      <c r="AC789" s="109"/>
      <c r="AD789" s="109"/>
      <c r="AE789" s="109"/>
      <c r="AF789" s="109"/>
      <c r="AG789" s="109"/>
      <c r="AH789" s="109"/>
      <c r="AI789" s="109"/>
    </row>
    <row r="790">
      <c r="A790" s="112"/>
      <c r="B790" s="112"/>
      <c r="C790" s="112"/>
      <c r="D790" s="119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09"/>
      <c r="AB790" s="109"/>
      <c r="AC790" s="109"/>
      <c r="AD790" s="109"/>
      <c r="AE790" s="109"/>
      <c r="AF790" s="109"/>
      <c r="AG790" s="109"/>
      <c r="AH790" s="109"/>
      <c r="AI790" s="109"/>
    </row>
    <row r="791">
      <c r="A791" s="112"/>
      <c r="B791" s="112"/>
      <c r="C791" s="112"/>
      <c r="D791" s="119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09"/>
      <c r="AB791" s="109"/>
      <c r="AC791" s="109"/>
      <c r="AD791" s="109"/>
      <c r="AE791" s="109"/>
      <c r="AF791" s="109"/>
      <c r="AG791" s="109"/>
      <c r="AH791" s="109"/>
      <c r="AI791" s="109"/>
    </row>
    <row r="792">
      <c r="A792" s="112"/>
      <c r="B792" s="112"/>
      <c r="C792" s="112"/>
      <c r="D792" s="119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09"/>
      <c r="AB792" s="109"/>
      <c r="AC792" s="109"/>
      <c r="AD792" s="109"/>
      <c r="AE792" s="109"/>
      <c r="AF792" s="109"/>
      <c r="AG792" s="109"/>
      <c r="AH792" s="109"/>
      <c r="AI792" s="109"/>
    </row>
    <row r="793">
      <c r="A793" s="112"/>
      <c r="B793" s="112"/>
      <c r="C793" s="112"/>
      <c r="D793" s="119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09"/>
      <c r="AB793" s="109"/>
      <c r="AC793" s="109"/>
      <c r="AD793" s="109"/>
      <c r="AE793" s="109"/>
      <c r="AF793" s="109"/>
      <c r="AG793" s="109"/>
      <c r="AH793" s="109"/>
      <c r="AI793" s="109"/>
    </row>
    <row r="794">
      <c r="A794" s="112"/>
      <c r="B794" s="112"/>
      <c r="C794" s="112"/>
      <c r="D794" s="119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09"/>
      <c r="AB794" s="109"/>
      <c r="AC794" s="109"/>
      <c r="AD794" s="109"/>
      <c r="AE794" s="109"/>
      <c r="AF794" s="109"/>
      <c r="AG794" s="109"/>
      <c r="AH794" s="109"/>
      <c r="AI794" s="109"/>
    </row>
    <row r="795">
      <c r="A795" s="112"/>
      <c r="B795" s="112"/>
      <c r="C795" s="112"/>
      <c r="D795" s="119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09"/>
      <c r="AB795" s="109"/>
      <c r="AC795" s="109"/>
      <c r="AD795" s="109"/>
      <c r="AE795" s="109"/>
      <c r="AF795" s="109"/>
      <c r="AG795" s="109"/>
      <c r="AH795" s="109"/>
      <c r="AI795" s="109"/>
    </row>
    <row r="796">
      <c r="A796" s="112"/>
      <c r="B796" s="112"/>
      <c r="C796" s="112"/>
      <c r="D796" s="119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09"/>
      <c r="AB796" s="109"/>
      <c r="AC796" s="109"/>
      <c r="AD796" s="109"/>
      <c r="AE796" s="109"/>
      <c r="AF796" s="109"/>
      <c r="AG796" s="109"/>
      <c r="AH796" s="109"/>
      <c r="AI796" s="109"/>
    </row>
    <row r="797">
      <c r="A797" s="112"/>
      <c r="B797" s="112"/>
      <c r="C797" s="112"/>
      <c r="D797" s="119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09"/>
      <c r="AB797" s="109"/>
      <c r="AC797" s="109"/>
      <c r="AD797" s="109"/>
      <c r="AE797" s="109"/>
      <c r="AF797" s="109"/>
      <c r="AG797" s="109"/>
      <c r="AH797" s="109"/>
      <c r="AI797" s="109"/>
    </row>
    <row r="798">
      <c r="A798" s="112"/>
      <c r="B798" s="112"/>
      <c r="C798" s="112"/>
      <c r="D798" s="119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09"/>
      <c r="AB798" s="109"/>
      <c r="AC798" s="109"/>
      <c r="AD798" s="109"/>
      <c r="AE798" s="109"/>
      <c r="AF798" s="109"/>
      <c r="AG798" s="109"/>
      <c r="AH798" s="109"/>
      <c r="AI798" s="109"/>
    </row>
    <row r="799">
      <c r="A799" s="112"/>
      <c r="B799" s="112"/>
      <c r="C799" s="112"/>
      <c r="D799" s="119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09"/>
      <c r="AB799" s="109"/>
      <c r="AC799" s="109"/>
      <c r="AD799" s="109"/>
      <c r="AE799" s="109"/>
      <c r="AF799" s="109"/>
      <c r="AG799" s="109"/>
      <c r="AH799" s="109"/>
      <c r="AI799" s="109"/>
    </row>
    <row r="800">
      <c r="A800" s="112"/>
      <c r="B800" s="112"/>
      <c r="C800" s="112"/>
      <c r="D800" s="119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09"/>
      <c r="AB800" s="109"/>
      <c r="AC800" s="109"/>
      <c r="AD800" s="109"/>
      <c r="AE800" s="109"/>
      <c r="AF800" s="109"/>
      <c r="AG800" s="109"/>
      <c r="AH800" s="109"/>
      <c r="AI800" s="109"/>
    </row>
    <row r="801">
      <c r="A801" s="112"/>
      <c r="B801" s="112"/>
      <c r="C801" s="112"/>
      <c r="D801" s="119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09"/>
      <c r="AB801" s="109"/>
      <c r="AC801" s="109"/>
      <c r="AD801" s="109"/>
      <c r="AE801" s="109"/>
      <c r="AF801" s="109"/>
      <c r="AG801" s="109"/>
      <c r="AH801" s="109"/>
      <c r="AI801" s="109"/>
    </row>
    <row r="802">
      <c r="A802" s="112"/>
      <c r="B802" s="112"/>
      <c r="C802" s="112"/>
      <c r="D802" s="119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09"/>
      <c r="AB802" s="109"/>
      <c r="AC802" s="109"/>
      <c r="AD802" s="109"/>
      <c r="AE802" s="109"/>
      <c r="AF802" s="109"/>
      <c r="AG802" s="109"/>
      <c r="AH802" s="109"/>
      <c r="AI802" s="109"/>
    </row>
    <row r="803">
      <c r="A803" s="112"/>
      <c r="B803" s="112"/>
      <c r="C803" s="112"/>
      <c r="D803" s="119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09"/>
      <c r="AB803" s="109"/>
      <c r="AC803" s="109"/>
      <c r="AD803" s="109"/>
      <c r="AE803" s="109"/>
      <c r="AF803" s="109"/>
      <c r="AG803" s="109"/>
      <c r="AH803" s="109"/>
      <c r="AI803" s="109"/>
    </row>
    <row r="804">
      <c r="A804" s="112"/>
      <c r="B804" s="112"/>
      <c r="C804" s="112"/>
      <c r="D804" s="119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  <c r="AA804" s="109"/>
      <c r="AB804" s="109"/>
      <c r="AC804" s="109"/>
      <c r="AD804" s="109"/>
      <c r="AE804" s="109"/>
      <c r="AF804" s="109"/>
      <c r="AG804" s="109"/>
      <c r="AH804" s="109"/>
      <c r="AI804" s="109"/>
    </row>
    <row r="805">
      <c r="A805" s="112"/>
      <c r="B805" s="112"/>
      <c r="C805" s="112"/>
      <c r="D805" s="119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09"/>
      <c r="AB805" s="109"/>
      <c r="AC805" s="109"/>
      <c r="AD805" s="109"/>
      <c r="AE805" s="109"/>
      <c r="AF805" s="109"/>
      <c r="AG805" s="109"/>
      <c r="AH805" s="109"/>
      <c r="AI805" s="109"/>
    </row>
    <row r="806">
      <c r="A806" s="112"/>
      <c r="B806" s="112"/>
      <c r="C806" s="112"/>
      <c r="D806" s="119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09"/>
      <c r="AB806" s="109"/>
      <c r="AC806" s="109"/>
      <c r="AD806" s="109"/>
      <c r="AE806" s="109"/>
      <c r="AF806" s="109"/>
      <c r="AG806" s="109"/>
      <c r="AH806" s="109"/>
      <c r="AI806" s="109"/>
    </row>
    <row r="807">
      <c r="A807" s="112"/>
      <c r="B807" s="112"/>
      <c r="C807" s="112"/>
      <c r="D807" s="119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09"/>
      <c r="AB807" s="109"/>
      <c r="AC807" s="109"/>
      <c r="AD807" s="109"/>
      <c r="AE807" s="109"/>
      <c r="AF807" s="109"/>
      <c r="AG807" s="109"/>
      <c r="AH807" s="109"/>
      <c r="AI807" s="109"/>
    </row>
    <row r="808">
      <c r="A808" s="112"/>
      <c r="B808" s="112"/>
      <c r="C808" s="112"/>
      <c r="D808" s="119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  <c r="AA808" s="109"/>
      <c r="AB808" s="109"/>
      <c r="AC808" s="109"/>
      <c r="AD808" s="109"/>
      <c r="AE808" s="109"/>
      <c r="AF808" s="109"/>
      <c r="AG808" s="109"/>
      <c r="AH808" s="109"/>
      <c r="AI808" s="109"/>
    </row>
    <row r="809">
      <c r="A809" s="112"/>
      <c r="B809" s="112"/>
      <c r="C809" s="112"/>
      <c r="D809" s="119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  <c r="AA809" s="109"/>
      <c r="AB809" s="109"/>
      <c r="AC809" s="109"/>
      <c r="AD809" s="109"/>
      <c r="AE809" s="109"/>
      <c r="AF809" s="109"/>
      <c r="AG809" s="109"/>
      <c r="AH809" s="109"/>
      <c r="AI809" s="109"/>
    </row>
    <row r="810">
      <c r="A810" s="112"/>
      <c r="B810" s="112"/>
      <c r="C810" s="112"/>
      <c r="D810" s="119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  <c r="AA810" s="109"/>
      <c r="AB810" s="109"/>
      <c r="AC810" s="109"/>
      <c r="AD810" s="109"/>
      <c r="AE810" s="109"/>
      <c r="AF810" s="109"/>
      <c r="AG810" s="109"/>
      <c r="AH810" s="109"/>
      <c r="AI810" s="109"/>
    </row>
    <row r="811">
      <c r="A811" s="112"/>
      <c r="B811" s="112"/>
      <c r="C811" s="112"/>
      <c r="D811" s="119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  <c r="AA811" s="109"/>
      <c r="AB811" s="109"/>
      <c r="AC811" s="109"/>
      <c r="AD811" s="109"/>
      <c r="AE811" s="109"/>
      <c r="AF811" s="109"/>
      <c r="AG811" s="109"/>
      <c r="AH811" s="109"/>
      <c r="AI811" s="109"/>
    </row>
    <row r="812">
      <c r="A812" s="112"/>
      <c r="B812" s="112"/>
      <c r="C812" s="112"/>
      <c r="D812" s="119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  <c r="AA812" s="109"/>
      <c r="AB812" s="109"/>
      <c r="AC812" s="109"/>
      <c r="AD812" s="109"/>
      <c r="AE812" s="109"/>
      <c r="AF812" s="109"/>
      <c r="AG812" s="109"/>
      <c r="AH812" s="109"/>
      <c r="AI812" s="109"/>
    </row>
    <row r="813">
      <c r="A813" s="112"/>
      <c r="B813" s="112"/>
      <c r="C813" s="112"/>
      <c r="D813" s="119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  <c r="AA813" s="109"/>
      <c r="AB813" s="109"/>
      <c r="AC813" s="109"/>
      <c r="AD813" s="109"/>
      <c r="AE813" s="109"/>
      <c r="AF813" s="109"/>
      <c r="AG813" s="109"/>
      <c r="AH813" s="109"/>
      <c r="AI813" s="109"/>
    </row>
    <row r="814">
      <c r="A814" s="112"/>
      <c r="B814" s="112"/>
      <c r="C814" s="112"/>
      <c r="D814" s="119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  <c r="AA814" s="109"/>
      <c r="AB814" s="109"/>
      <c r="AC814" s="109"/>
      <c r="AD814" s="109"/>
      <c r="AE814" s="109"/>
      <c r="AF814" s="109"/>
      <c r="AG814" s="109"/>
      <c r="AH814" s="109"/>
      <c r="AI814" s="109"/>
    </row>
    <row r="815">
      <c r="A815" s="112"/>
      <c r="B815" s="112"/>
      <c r="C815" s="112"/>
      <c r="D815" s="119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  <c r="AA815" s="109"/>
      <c r="AB815" s="109"/>
      <c r="AC815" s="109"/>
      <c r="AD815" s="109"/>
      <c r="AE815" s="109"/>
      <c r="AF815" s="109"/>
      <c r="AG815" s="109"/>
      <c r="AH815" s="109"/>
      <c r="AI815" s="109"/>
    </row>
    <row r="816">
      <c r="A816" s="112"/>
      <c r="B816" s="112"/>
      <c r="C816" s="112"/>
      <c r="D816" s="119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  <c r="AA816" s="109"/>
      <c r="AB816" s="109"/>
      <c r="AC816" s="109"/>
      <c r="AD816" s="109"/>
      <c r="AE816" s="109"/>
      <c r="AF816" s="109"/>
      <c r="AG816" s="109"/>
      <c r="AH816" s="109"/>
      <c r="AI816" s="109"/>
    </row>
    <row r="817">
      <c r="A817" s="112"/>
      <c r="B817" s="112"/>
      <c r="C817" s="112"/>
      <c r="D817" s="119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  <c r="AA817" s="109"/>
      <c r="AB817" s="109"/>
      <c r="AC817" s="109"/>
      <c r="AD817" s="109"/>
      <c r="AE817" s="109"/>
      <c r="AF817" s="109"/>
      <c r="AG817" s="109"/>
      <c r="AH817" s="109"/>
      <c r="AI817" s="109"/>
    </row>
    <row r="818">
      <c r="A818" s="112"/>
      <c r="B818" s="112"/>
      <c r="C818" s="112"/>
      <c r="D818" s="119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  <c r="AA818" s="109"/>
      <c r="AB818" s="109"/>
      <c r="AC818" s="109"/>
      <c r="AD818" s="109"/>
      <c r="AE818" s="109"/>
      <c r="AF818" s="109"/>
      <c r="AG818" s="109"/>
      <c r="AH818" s="109"/>
      <c r="AI818" s="109"/>
    </row>
    <row r="819">
      <c r="A819" s="112"/>
      <c r="B819" s="112"/>
      <c r="C819" s="112"/>
      <c r="D819" s="119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09"/>
      <c r="AB819" s="109"/>
      <c r="AC819" s="109"/>
      <c r="AD819" s="109"/>
      <c r="AE819" s="109"/>
      <c r="AF819" s="109"/>
      <c r="AG819" s="109"/>
      <c r="AH819" s="109"/>
      <c r="AI819" s="109"/>
    </row>
    <row r="820">
      <c r="A820" s="112"/>
      <c r="B820" s="112"/>
      <c r="C820" s="112"/>
      <c r="D820" s="119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  <c r="AA820" s="109"/>
      <c r="AB820" s="109"/>
      <c r="AC820" s="109"/>
      <c r="AD820" s="109"/>
      <c r="AE820" s="109"/>
      <c r="AF820" s="109"/>
      <c r="AG820" s="109"/>
      <c r="AH820" s="109"/>
      <c r="AI820" s="109"/>
    </row>
    <row r="821">
      <c r="A821" s="112"/>
      <c r="B821" s="112"/>
      <c r="C821" s="112"/>
      <c r="D821" s="119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  <c r="AA821" s="109"/>
      <c r="AB821" s="109"/>
      <c r="AC821" s="109"/>
      <c r="AD821" s="109"/>
      <c r="AE821" s="109"/>
      <c r="AF821" s="109"/>
      <c r="AG821" s="109"/>
      <c r="AH821" s="109"/>
      <c r="AI821" s="109"/>
    </row>
    <row r="822">
      <c r="A822" s="112"/>
      <c r="B822" s="112"/>
      <c r="C822" s="112"/>
      <c r="D822" s="119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  <c r="AA822" s="109"/>
      <c r="AB822" s="109"/>
      <c r="AC822" s="109"/>
      <c r="AD822" s="109"/>
      <c r="AE822" s="109"/>
      <c r="AF822" s="109"/>
      <c r="AG822" s="109"/>
      <c r="AH822" s="109"/>
      <c r="AI822" s="109"/>
    </row>
    <row r="823">
      <c r="A823" s="112"/>
      <c r="B823" s="112"/>
      <c r="C823" s="112"/>
      <c r="D823" s="119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  <c r="AA823" s="109"/>
      <c r="AB823" s="109"/>
      <c r="AC823" s="109"/>
      <c r="AD823" s="109"/>
      <c r="AE823" s="109"/>
      <c r="AF823" s="109"/>
      <c r="AG823" s="109"/>
      <c r="AH823" s="109"/>
      <c r="AI823" s="109"/>
    </row>
    <row r="824">
      <c r="A824" s="112"/>
      <c r="B824" s="112"/>
      <c r="C824" s="112"/>
      <c r="D824" s="119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  <c r="AA824" s="109"/>
      <c r="AB824" s="109"/>
      <c r="AC824" s="109"/>
      <c r="AD824" s="109"/>
      <c r="AE824" s="109"/>
      <c r="AF824" s="109"/>
      <c r="AG824" s="109"/>
      <c r="AH824" s="109"/>
      <c r="AI824" s="109"/>
    </row>
    <row r="825">
      <c r="A825" s="112"/>
      <c r="B825" s="112"/>
      <c r="C825" s="112"/>
      <c r="D825" s="119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  <c r="AA825" s="109"/>
      <c r="AB825" s="109"/>
      <c r="AC825" s="109"/>
      <c r="AD825" s="109"/>
      <c r="AE825" s="109"/>
      <c r="AF825" s="109"/>
      <c r="AG825" s="109"/>
      <c r="AH825" s="109"/>
      <c r="AI825" s="109"/>
    </row>
    <row r="826">
      <c r="A826" s="112"/>
      <c r="B826" s="112"/>
      <c r="C826" s="112"/>
      <c r="D826" s="119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  <c r="AA826" s="109"/>
      <c r="AB826" s="109"/>
      <c r="AC826" s="109"/>
      <c r="AD826" s="109"/>
      <c r="AE826" s="109"/>
      <c r="AF826" s="109"/>
      <c r="AG826" s="109"/>
      <c r="AH826" s="109"/>
      <c r="AI826" s="109"/>
    </row>
    <row r="827">
      <c r="A827" s="112"/>
      <c r="B827" s="112"/>
      <c r="C827" s="112"/>
      <c r="D827" s="119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  <c r="AA827" s="109"/>
      <c r="AB827" s="109"/>
      <c r="AC827" s="109"/>
      <c r="AD827" s="109"/>
      <c r="AE827" s="109"/>
      <c r="AF827" s="109"/>
      <c r="AG827" s="109"/>
      <c r="AH827" s="109"/>
      <c r="AI827" s="109"/>
    </row>
    <row r="828">
      <c r="A828" s="112"/>
      <c r="B828" s="112"/>
      <c r="C828" s="112"/>
      <c r="D828" s="119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  <c r="AA828" s="109"/>
      <c r="AB828" s="109"/>
      <c r="AC828" s="109"/>
      <c r="AD828" s="109"/>
      <c r="AE828" s="109"/>
      <c r="AF828" s="109"/>
      <c r="AG828" s="109"/>
      <c r="AH828" s="109"/>
      <c r="AI828" s="109"/>
    </row>
    <row r="829">
      <c r="A829" s="112"/>
      <c r="B829" s="112"/>
      <c r="C829" s="112"/>
      <c r="D829" s="119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  <c r="AA829" s="109"/>
      <c r="AB829" s="109"/>
      <c r="AC829" s="109"/>
      <c r="AD829" s="109"/>
      <c r="AE829" s="109"/>
      <c r="AF829" s="109"/>
      <c r="AG829" s="109"/>
      <c r="AH829" s="109"/>
      <c r="AI829" s="109"/>
    </row>
    <row r="830">
      <c r="A830" s="112"/>
      <c r="B830" s="112"/>
      <c r="C830" s="112"/>
      <c r="D830" s="119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  <c r="AA830" s="109"/>
      <c r="AB830" s="109"/>
      <c r="AC830" s="109"/>
      <c r="AD830" s="109"/>
      <c r="AE830" s="109"/>
      <c r="AF830" s="109"/>
      <c r="AG830" s="109"/>
      <c r="AH830" s="109"/>
      <c r="AI830" s="109"/>
    </row>
    <row r="831">
      <c r="A831" s="112"/>
      <c r="B831" s="112"/>
      <c r="C831" s="112"/>
      <c r="D831" s="119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  <c r="AA831" s="109"/>
      <c r="AB831" s="109"/>
      <c r="AC831" s="109"/>
      <c r="AD831" s="109"/>
      <c r="AE831" s="109"/>
      <c r="AF831" s="109"/>
      <c r="AG831" s="109"/>
      <c r="AH831" s="109"/>
      <c r="AI831" s="109"/>
    </row>
    <row r="832">
      <c r="A832" s="112"/>
      <c r="B832" s="112"/>
      <c r="C832" s="112"/>
      <c r="D832" s="119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  <c r="AA832" s="109"/>
      <c r="AB832" s="109"/>
      <c r="AC832" s="109"/>
      <c r="AD832" s="109"/>
      <c r="AE832" s="109"/>
      <c r="AF832" s="109"/>
      <c r="AG832" s="109"/>
      <c r="AH832" s="109"/>
      <c r="AI832" s="109"/>
    </row>
    <row r="833">
      <c r="A833" s="112"/>
      <c r="B833" s="112"/>
      <c r="C833" s="112"/>
      <c r="D833" s="119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  <c r="AA833" s="109"/>
      <c r="AB833" s="109"/>
      <c r="AC833" s="109"/>
      <c r="AD833" s="109"/>
      <c r="AE833" s="109"/>
      <c r="AF833" s="109"/>
      <c r="AG833" s="109"/>
      <c r="AH833" s="109"/>
      <c r="AI833" s="109"/>
    </row>
    <row r="834">
      <c r="A834" s="112"/>
      <c r="B834" s="112"/>
      <c r="C834" s="112"/>
      <c r="D834" s="119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  <c r="AA834" s="109"/>
      <c r="AB834" s="109"/>
      <c r="AC834" s="109"/>
      <c r="AD834" s="109"/>
      <c r="AE834" s="109"/>
      <c r="AF834" s="109"/>
      <c r="AG834" s="109"/>
      <c r="AH834" s="109"/>
      <c r="AI834" s="109"/>
    </row>
    <row r="835">
      <c r="A835" s="112"/>
      <c r="B835" s="112"/>
      <c r="C835" s="112"/>
      <c r="D835" s="119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  <c r="AA835" s="109"/>
      <c r="AB835" s="109"/>
      <c r="AC835" s="109"/>
      <c r="AD835" s="109"/>
      <c r="AE835" s="109"/>
      <c r="AF835" s="109"/>
      <c r="AG835" s="109"/>
      <c r="AH835" s="109"/>
      <c r="AI835" s="109"/>
    </row>
    <row r="836">
      <c r="A836" s="112"/>
      <c r="B836" s="112"/>
      <c r="C836" s="112"/>
      <c r="D836" s="119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  <c r="AA836" s="109"/>
      <c r="AB836" s="109"/>
      <c r="AC836" s="109"/>
      <c r="AD836" s="109"/>
      <c r="AE836" s="109"/>
      <c r="AF836" s="109"/>
      <c r="AG836" s="109"/>
      <c r="AH836" s="109"/>
      <c r="AI836" s="109"/>
    </row>
    <row r="837">
      <c r="A837" s="112"/>
      <c r="B837" s="112"/>
      <c r="C837" s="112"/>
      <c r="D837" s="119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  <c r="AA837" s="109"/>
      <c r="AB837" s="109"/>
      <c r="AC837" s="109"/>
      <c r="AD837" s="109"/>
      <c r="AE837" s="109"/>
      <c r="AF837" s="109"/>
      <c r="AG837" s="109"/>
      <c r="AH837" s="109"/>
      <c r="AI837" s="109"/>
    </row>
    <row r="838">
      <c r="A838" s="112"/>
      <c r="B838" s="112"/>
      <c r="C838" s="112"/>
      <c r="D838" s="119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  <c r="AA838" s="109"/>
      <c r="AB838" s="109"/>
      <c r="AC838" s="109"/>
      <c r="AD838" s="109"/>
      <c r="AE838" s="109"/>
      <c r="AF838" s="109"/>
      <c r="AG838" s="109"/>
      <c r="AH838" s="109"/>
      <c r="AI838" s="109"/>
    </row>
    <row r="839">
      <c r="A839" s="112"/>
      <c r="B839" s="112"/>
      <c r="C839" s="112"/>
      <c r="D839" s="119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  <c r="AA839" s="109"/>
      <c r="AB839" s="109"/>
      <c r="AC839" s="109"/>
      <c r="AD839" s="109"/>
      <c r="AE839" s="109"/>
      <c r="AF839" s="109"/>
      <c r="AG839" s="109"/>
      <c r="AH839" s="109"/>
      <c r="AI839" s="109"/>
    </row>
    <row r="840">
      <c r="A840" s="112"/>
      <c r="B840" s="112"/>
      <c r="C840" s="112"/>
      <c r="D840" s="119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09"/>
      <c r="AB840" s="109"/>
      <c r="AC840" s="109"/>
      <c r="AD840" s="109"/>
      <c r="AE840" s="109"/>
      <c r="AF840" s="109"/>
      <c r="AG840" s="109"/>
      <c r="AH840" s="109"/>
      <c r="AI840" s="109"/>
    </row>
    <row r="841">
      <c r="A841" s="112"/>
      <c r="B841" s="112"/>
      <c r="C841" s="112"/>
      <c r="D841" s="119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09"/>
      <c r="AB841" s="109"/>
      <c r="AC841" s="109"/>
      <c r="AD841" s="109"/>
      <c r="AE841" s="109"/>
      <c r="AF841" s="109"/>
      <c r="AG841" s="109"/>
      <c r="AH841" s="109"/>
      <c r="AI841" s="109"/>
    </row>
    <row r="842">
      <c r="A842" s="112"/>
      <c r="B842" s="112"/>
      <c r="C842" s="112"/>
      <c r="D842" s="119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09"/>
      <c r="AB842" s="109"/>
      <c r="AC842" s="109"/>
      <c r="AD842" s="109"/>
      <c r="AE842" s="109"/>
      <c r="AF842" s="109"/>
      <c r="AG842" s="109"/>
      <c r="AH842" s="109"/>
      <c r="AI842" s="109"/>
    </row>
    <row r="843">
      <c r="A843" s="112"/>
      <c r="B843" s="112"/>
      <c r="C843" s="112"/>
      <c r="D843" s="119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09"/>
      <c r="AB843" s="109"/>
      <c r="AC843" s="109"/>
      <c r="AD843" s="109"/>
      <c r="AE843" s="109"/>
      <c r="AF843" s="109"/>
      <c r="AG843" s="109"/>
      <c r="AH843" s="109"/>
      <c r="AI843" s="109"/>
    </row>
    <row r="844">
      <c r="A844" s="112"/>
      <c r="B844" s="112"/>
      <c r="C844" s="112"/>
      <c r="D844" s="119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09"/>
      <c r="AB844" s="109"/>
      <c r="AC844" s="109"/>
      <c r="AD844" s="109"/>
      <c r="AE844" s="109"/>
      <c r="AF844" s="109"/>
      <c r="AG844" s="109"/>
      <c r="AH844" s="109"/>
      <c r="AI844" s="109"/>
    </row>
    <row r="845">
      <c r="A845" s="112"/>
      <c r="B845" s="112"/>
      <c r="C845" s="112"/>
      <c r="D845" s="119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09"/>
      <c r="AB845" s="109"/>
      <c r="AC845" s="109"/>
      <c r="AD845" s="109"/>
      <c r="AE845" s="109"/>
      <c r="AF845" s="109"/>
      <c r="AG845" s="109"/>
      <c r="AH845" s="109"/>
      <c r="AI845" s="109"/>
    </row>
    <row r="846">
      <c r="A846" s="112"/>
      <c r="B846" s="112"/>
      <c r="C846" s="112"/>
      <c r="D846" s="119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09"/>
      <c r="AB846" s="109"/>
      <c r="AC846" s="109"/>
      <c r="AD846" s="109"/>
      <c r="AE846" s="109"/>
      <c r="AF846" s="109"/>
      <c r="AG846" s="109"/>
      <c r="AH846" s="109"/>
      <c r="AI846" s="109"/>
    </row>
    <row r="847">
      <c r="A847" s="112"/>
      <c r="B847" s="112"/>
      <c r="C847" s="112"/>
      <c r="D847" s="119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09"/>
      <c r="AB847" s="109"/>
      <c r="AC847" s="109"/>
      <c r="AD847" s="109"/>
      <c r="AE847" s="109"/>
      <c r="AF847" s="109"/>
      <c r="AG847" s="109"/>
      <c r="AH847" s="109"/>
      <c r="AI847" s="109"/>
    </row>
    <row r="848">
      <c r="A848" s="112"/>
      <c r="B848" s="112"/>
      <c r="C848" s="112"/>
      <c r="D848" s="119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09"/>
      <c r="AB848" s="109"/>
      <c r="AC848" s="109"/>
      <c r="AD848" s="109"/>
      <c r="AE848" s="109"/>
      <c r="AF848" s="109"/>
      <c r="AG848" s="109"/>
      <c r="AH848" s="109"/>
      <c r="AI848" s="109"/>
    </row>
    <row r="849">
      <c r="A849" s="112"/>
      <c r="B849" s="112"/>
      <c r="C849" s="112"/>
      <c r="D849" s="119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09"/>
      <c r="AB849" s="109"/>
      <c r="AC849" s="109"/>
      <c r="AD849" s="109"/>
      <c r="AE849" s="109"/>
      <c r="AF849" s="109"/>
      <c r="AG849" s="109"/>
      <c r="AH849" s="109"/>
      <c r="AI849" s="109"/>
    </row>
    <row r="850">
      <c r="A850" s="112"/>
      <c r="B850" s="112"/>
      <c r="C850" s="112"/>
      <c r="D850" s="119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09"/>
      <c r="AB850" s="109"/>
      <c r="AC850" s="109"/>
      <c r="AD850" s="109"/>
      <c r="AE850" s="109"/>
      <c r="AF850" s="109"/>
      <c r="AG850" s="109"/>
      <c r="AH850" s="109"/>
      <c r="AI850" s="109"/>
    </row>
    <row r="851">
      <c r="A851" s="112"/>
      <c r="B851" s="112"/>
      <c r="C851" s="112"/>
      <c r="D851" s="119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09"/>
      <c r="AB851" s="109"/>
      <c r="AC851" s="109"/>
      <c r="AD851" s="109"/>
      <c r="AE851" s="109"/>
      <c r="AF851" s="109"/>
      <c r="AG851" s="109"/>
      <c r="AH851" s="109"/>
      <c r="AI851" s="109"/>
    </row>
    <row r="852">
      <c r="A852" s="112"/>
      <c r="B852" s="112"/>
      <c r="C852" s="112"/>
      <c r="D852" s="119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  <c r="AA852" s="109"/>
      <c r="AB852" s="109"/>
      <c r="AC852" s="109"/>
      <c r="AD852" s="109"/>
      <c r="AE852" s="109"/>
      <c r="AF852" s="109"/>
      <c r="AG852" s="109"/>
      <c r="AH852" s="109"/>
      <c r="AI852" s="109"/>
    </row>
    <row r="853">
      <c r="A853" s="112"/>
      <c r="B853" s="112"/>
      <c r="C853" s="112"/>
      <c r="D853" s="119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  <c r="AA853" s="109"/>
      <c r="AB853" s="109"/>
      <c r="AC853" s="109"/>
      <c r="AD853" s="109"/>
      <c r="AE853" s="109"/>
      <c r="AF853" s="109"/>
      <c r="AG853" s="109"/>
      <c r="AH853" s="109"/>
      <c r="AI853" s="109"/>
    </row>
    <row r="854">
      <c r="A854" s="112"/>
      <c r="B854" s="112"/>
      <c r="C854" s="112"/>
      <c r="D854" s="119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  <c r="AA854" s="109"/>
      <c r="AB854" s="109"/>
      <c r="AC854" s="109"/>
      <c r="AD854" s="109"/>
      <c r="AE854" s="109"/>
      <c r="AF854" s="109"/>
      <c r="AG854" s="109"/>
      <c r="AH854" s="109"/>
      <c r="AI854" s="109"/>
    </row>
    <row r="855">
      <c r="A855" s="112"/>
      <c r="B855" s="112"/>
      <c r="C855" s="112"/>
      <c r="D855" s="119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  <c r="AA855" s="109"/>
      <c r="AB855" s="109"/>
      <c r="AC855" s="109"/>
      <c r="AD855" s="109"/>
      <c r="AE855" s="109"/>
      <c r="AF855" s="109"/>
      <c r="AG855" s="109"/>
      <c r="AH855" s="109"/>
      <c r="AI855" s="109"/>
    </row>
    <row r="856">
      <c r="A856" s="112"/>
      <c r="B856" s="112"/>
      <c r="C856" s="112"/>
      <c r="D856" s="119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  <c r="AA856" s="109"/>
      <c r="AB856" s="109"/>
      <c r="AC856" s="109"/>
      <c r="AD856" s="109"/>
      <c r="AE856" s="109"/>
      <c r="AF856" s="109"/>
      <c r="AG856" s="109"/>
      <c r="AH856" s="109"/>
      <c r="AI856" s="109"/>
    </row>
    <row r="857">
      <c r="A857" s="112"/>
      <c r="B857" s="112"/>
      <c r="C857" s="112"/>
      <c r="D857" s="119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  <c r="AA857" s="109"/>
      <c r="AB857" s="109"/>
      <c r="AC857" s="109"/>
      <c r="AD857" s="109"/>
      <c r="AE857" s="109"/>
      <c r="AF857" s="109"/>
      <c r="AG857" s="109"/>
      <c r="AH857" s="109"/>
      <c r="AI857" s="109"/>
    </row>
    <row r="858">
      <c r="A858" s="112"/>
      <c r="B858" s="112"/>
      <c r="C858" s="112"/>
      <c r="D858" s="119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  <c r="AA858" s="109"/>
      <c r="AB858" s="109"/>
      <c r="AC858" s="109"/>
      <c r="AD858" s="109"/>
      <c r="AE858" s="109"/>
      <c r="AF858" s="109"/>
      <c r="AG858" s="109"/>
      <c r="AH858" s="109"/>
      <c r="AI858" s="109"/>
    </row>
    <row r="859">
      <c r="A859" s="112"/>
      <c r="B859" s="112"/>
      <c r="C859" s="112"/>
      <c r="D859" s="119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  <c r="AA859" s="109"/>
      <c r="AB859" s="109"/>
      <c r="AC859" s="109"/>
      <c r="AD859" s="109"/>
      <c r="AE859" s="109"/>
      <c r="AF859" s="109"/>
      <c r="AG859" s="109"/>
      <c r="AH859" s="109"/>
      <c r="AI859" s="109"/>
    </row>
    <row r="860">
      <c r="A860" s="112"/>
      <c r="B860" s="112"/>
      <c r="C860" s="112"/>
      <c r="D860" s="119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  <c r="AA860" s="109"/>
      <c r="AB860" s="109"/>
      <c r="AC860" s="109"/>
      <c r="AD860" s="109"/>
      <c r="AE860" s="109"/>
      <c r="AF860" s="109"/>
      <c r="AG860" s="109"/>
      <c r="AH860" s="109"/>
      <c r="AI860" s="109"/>
    </row>
    <row r="861">
      <c r="A861" s="112"/>
      <c r="B861" s="112"/>
      <c r="C861" s="112"/>
      <c r="D861" s="119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  <c r="AA861" s="109"/>
      <c r="AB861" s="109"/>
      <c r="AC861" s="109"/>
      <c r="AD861" s="109"/>
      <c r="AE861" s="109"/>
      <c r="AF861" s="109"/>
      <c r="AG861" s="109"/>
      <c r="AH861" s="109"/>
      <c r="AI861" s="109"/>
    </row>
    <row r="862">
      <c r="A862" s="112"/>
      <c r="B862" s="112"/>
      <c r="C862" s="112"/>
      <c r="D862" s="119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  <c r="AA862" s="109"/>
      <c r="AB862" s="109"/>
      <c r="AC862" s="109"/>
      <c r="AD862" s="109"/>
      <c r="AE862" s="109"/>
      <c r="AF862" s="109"/>
      <c r="AG862" s="109"/>
      <c r="AH862" s="109"/>
      <c r="AI862" s="109"/>
    </row>
    <row r="863">
      <c r="A863" s="112"/>
      <c r="B863" s="112"/>
      <c r="C863" s="112"/>
      <c r="D863" s="119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  <c r="AA863" s="109"/>
      <c r="AB863" s="109"/>
      <c r="AC863" s="109"/>
      <c r="AD863" s="109"/>
      <c r="AE863" s="109"/>
      <c r="AF863" s="109"/>
      <c r="AG863" s="109"/>
      <c r="AH863" s="109"/>
      <c r="AI863" s="109"/>
    </row>
    <row r="864">
      <c r="A864" s="112"/>
      <c r="B864" s="112"/>
      <c r="C864" s="112"/>
      <c r="D864" s="119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  <c r="AA864" s="109"/>
      <c r="AB864" s="109"/>
      <c r="AC864" s="109"/>
      <c r="AD864" s="109"/>
      <c r="AE864" s="109"/>
      <c r="AF864" s="109"/>
      <c r="AG864" s="109"/>
      <c r="AH864" s="109"/>
      <c r="AI864" s="109"/>
    </row>
    <row r="865">
      <c r="A865" s="112"/>
      <c r="B865" s="112"/>
      <c r="C865" s="112"/>
      <c r="D865" s="119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  <c r="AA865" s="109"/>
      <c r="AB865" s="109"/>
      <c r="AC865" s="109"/>
      <c r="AD865" s="109"/>
      <c r="AE865" s="109"/>
      <c r="AF865" s="109"/>
      <c r="AG865" s="109"/>
      <c r="AH865" s="109"/>
      <c r="AI865" s="109"/>
    </row>
    <row r="866">
      <c r="A866" s="112"/>
      <c r="B866" s="112"/>
      <c r="C866" s="112"/>
      <c r="D866" s="119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  <c r="AA866" s="109"/>
      <c r="AB866" s="109"/>
      <c r="AC866" s="109"/>
      <c r="AD866" s="109"/>
      <c r="AE866" s="109"/>
      <c r="AF866" s="109"/>
      <c r="AG866" s="109"/>
      <c r="AH866" s="109"/>
      <c r="AI866" s="109"/>
    </row>
    <row r="867">
      <c r="A867" s="112"/>
      <c r="B867" s="112"/>
      <c r="C867" s="112"/>
      <c r="D867" s="119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  <c r="AA867" s="109"/>
      <c r="AB867" s="109"/>
      <c r="AC867" s="109"/>
      <c r="AD867" s="109"/>
      <c r="AE867" s="109"/>
      <c r="AF867" s="109"/>
      <c r="AG867" s="109"/>
      <c r="AH867" s="109"/>
      <c r="AI867" s="109"/>
    </row>
    <row r="868">
      <c r="A868" s="112"/>
      <c r="B868" s="112"/>
      <c r="C868" s="112"/>
      <c r="D868" s="119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  <c r="AA868" s="109"/>
      <c r="AB868" s="109"/>
      <c r="AC868" s="109"/>
      <c r="AD868" s="109"/>
      <c r="AE868" s="109"/>
      <c r="AF868" s="109"/>
      <c r="AG868" s="109"/>
      <c r="AH868" s="109"/>
      <c r="AI868" s="109"/>
    </row>
    <row r="869">
      <c r="A869" s="112"/>
      <c r="B869" s="112"/>
      <c r="C869" s="112"/>
      <c r="D869" s="119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  <c r="AA869" s="109"/>
      <c r="AB869" s="109"/>
      <c r="AC869" s="109"/>
      <c r="AD869" s="109"/>
      <c r="AE869" s="109"/>
      <c r="AF869" s="109"/>
      <c r="AG869" s="109"/>
      <c r="AH869" s="109"/>
      <c r="AI869" s="109"/>
    </row>
    <row r="870">
      <c r="A870" s="112"/>
      <c r="B870" s="112"/>
      <c r="C870" s="112"/>
      <c r="D870" s="119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  <c r="AA870" s="109"/>
      <c r="AB870" s="109"/>
      <c r="AC870" s="109"/>
      <c r="AD870" s="109"/>
      <c r="AE870" s="109"/>
      <c r="AF870" s="109"/>
      <c r="AG870" s="109"/>
      <c r="AH870" s="109"/>
      <c r="AI870" s="109"/>
    </row>
    <row r="871">
      <c r="A871" s="112"/>
      <c r="B871" s="112"/>
      <c r="C871" s="112"/>
      <c r="D871" s="119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  <c r="AA871" s="109"/>
      <c r="AB871" s="109"/>
      <c r="AC871" s="109"/>
      <c r="AD871" s="109"/>
      <c r="AE871" s="109"/>
      <c r="AF871" s="109"/>
      <c r="AG871" s="109"/>
      <c r="AH871" s="109"/>
      <c r="AI871" s="109"/>
    </row>
    <row r="872">
      <c r="A872" s="112"/>
      <c r="B872" s="112"/>
      <c r="C872" s="112"/>
      <c r="D872" s="119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  <c r="AA872" s="109"/>
      <c r="AB872" s="109"/>
      <c r="AC872" s="109"/>
      <c r="AD872" s="109"/>
      <c r="AE872" s="109"/>
      <c r="AF872" s="109"/>
      <c r="AG872" s="109"/>
      <c r="AH872" s="109"/>
      <c r="AI872" s="109"/>
    </row>
    <row r="873">
      <c r="A873" s="112"/>
      <c r="B873" s="112"/>
      <c r="C873" s="112"/>
      <c r="D873" s="119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09"/>
      <c r="AB873" s="109"/>
      <c r="AC873" s="109"/>
      <c r="AD873" s="109"/>
      <c r="AE873" s="109"/>
      <c r="AF873" s="109"/>
      <c r="AG873" s="109"/>
      <c r="AH873" s="109"/>
      <c r="AI873" s="109"/>
    </row>
    <row r="874">
      <c r="A874" s="112"/>
      <c r="B874" s="112"/>
      <c r="C874" s="112"/>
      <c r="D874" s="119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  <c r="AA874" s="109"/>
      <c r="AB874" s="109"/>
      <c r="AC874" s="109"/>
      <c r="AD874" s="109"/>
      <c r="AE874" s="109"/>
      <c r="AF874" s="109"/>
      <c r="AG874" s="109"/>
      <c r="AH874" s="109"/>
      <c r="AI874" s="109"/>
    </row>
    <row r="875">
      <c r="A875" s="112"/>
      <c r="B875" s="112"/>
      <c r="C875" s="112"/>
      <c r="D875" s="119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09"/>
      <c r="AB875" s="109"/>
      <c r="AC875" s="109"/>
      <c r="AD875" s="109"/>
      <c r="AE875" s="109"/>
      <c r="AF875" s="109"/>
      <c r="AG875" s="109"/>
      <c r="AH875" s="109"/>
      <c r="AI875" s="109"/>
    </row>
    <row r="876">
      <c r="A876" s="112"/>
      <c r="B876" s="112"/>
      <c r="C876" s="112"/>
      <c r="D876" s="119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  <c r="AA876" s="109"/>
      <c r="AB876" s="109"/>
      <c r="AC876" s="109"/>
      <c r="AD876" s="109"/>
      <c r="AE876" s="109"/>
      <c r="AF876" s="109"/>
      <c r="AG876" s="109"/>
      <c r="AH876" s="109"/>
      <c r="AI876" s="109"/>
    </row>
    <row r="877">
      <c r="A877" s="112"/>
      <c r="B877" s="112"/>
      <c r="C877" s="112"/>
      <c r="D877" s="119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  <c r="AA877" s="109"/>
      <c r="AB877" s="109"/>
      <c r="AC877" s="109"/>
      <c r="AD877" s="109"/>
      <c r="AE877" s="109"/>
      <c r="AF877" s="109"/>
      <c r="AG877" s="109"/>
      <c r="AH877" s="109"/>
      <c r="AI877" s="109"/>
    </row>
    <row r="878">
      <c r="A878" s="112"/>
      <c r="B878" s="112"/>
      <c r="C878" s="112"/>
      <c r="D878" s="119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  <c r="AA878" s="109"/>
      <c r="AB878" s="109"/>
      <c r="AC878" s="109"/>
      <c r="AD878" s="109"/>
      <c r="AE878" s="109"/>
      <c r="AF878" s="109"/>
      <c r="AG878" s="109"/>
      <c r="AH878" s="109"/>
      <c r="AI878" s="109"/>
    </row>
    <row r="879">
      <c r="A879" s="112"/>
      <c r="B879" s="112"/>
      <c r="C879" s="112"/>
      <c r="D879" s="119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  <c r="AA879" s="109"/>
      <c r="AB879" s="109"/>
      <c r="AC879" s="109"/>
      <c r="AD879" s="109"/>
      <c r="AE879" s="109"/>
      <c r="AF879" s="109"/>
      <c r="AG879" s="109"/>
      <c r="AH879" s="109"/>
      <c r="AI879" s="109"/>
    </row>
    <row r="880">
      <c r="A880" s="112"/>
      <c r="B880" s="112"/>
      <c r="C880" s="112"/>
      <c r="D880" s="119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  <c r="AA880" s="109"/>
      <c r="AB880" s="109"/>
      <c r="AC880" s="109"/>
      <c r="AD880" s="109"/>
      <c r="AE880" s="109"/>
      <c r="AF880" s="109"/>
      <c r="AG880" s="109"/>
      <c r="AH880" s="109"/>
      <c r="AI880" s="109"/>
    </row>
    <row r="881">
      <c r="A881" s="112"/>
      <c r="B881" s="112"/>
      <c r="C881" s="112"/>
      <c r="D881" s="119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  <c r="AA881" s="109"/>
      <c r="AB881" s="109"/>
      <c r="AC881" s="109"/>
      <c r="AD881" s="109"/>
      <c r="AE881" s="109"/>
      <c r="AF881" s="109"/>
      <c r="AG881" s="109"/>
      <c r="AH881" s="109"/>
      <c r="AI881" s="109"/>
    </row>
    <row r="882">
      <c r="A882" s="112"/>
      <c r="B882" s="112"/>
      <c r="C882" s="112"/>
      <c r="D882" s="119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  <c r="AA882" s="109"/>
      <c r="AB882" s="109"/>
      <c r="AC882" s="109"/>
      <c r="AD882" s="109"/>
      <c r="AE882" s="109"/>
      <c r="AF882" s="109"/>
      <c r="AG882" s="109"/>
      <c r="AH882" s="109"/>
      <c r="AI882" s="109"/>
    </row>
    <row r="883">
      <c r="A883" s="112"/>
      <c r="B883" s="112"/>
      <c r="C883" s="112"/>
      <c r="D883" s="119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  <c r="AA883" s="109"/>
      <c r="AB883" s="109"/>
      <c r="AC883" s="109"/>
      <c r="AD883" s="109"/>
      <c r="AE883" s="109"/>
      <c r="AF883" s="109"/>
      <c r="AG883" s="109"/>
      <c r="AH883" s="109"/>
      <c r="AI883" s="109"/>
    </row>
    <row r="884">
      <c r="A884" s="112"/>
      <c r="B884" s="112"/>
      <c r="C884" s="112"/>
      <c r="D884" s="119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  <c r="AA884" s="109"/>
      <c r="AB884" s="109"/>
      <c r="AC884" s="109"/>
      <c r="AD884" s="109"/>
      <c r="AE884" s="109"/>
      <c r="AF884" s="109"/>
      <c r="AG884" s="109"/>
      <c r="AH884" s="109"/>
      <c r="AI884" s="109"/>
    </row>
    <row r="885">
      <c r="A885" s="112"/>
      <c r="B885" s="112"/>
      <c r="C885" s="112"/>
      <c r="D885" s="119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  <c r="AA885" s="109"/>
      <c r="AB885" s="109"/>
      <c r="AC885" s="109"/>
      <c r="AD885" s="109"/>
      <c r="AE885" s="109"/>
      <c r="AF885" s="109"/>
      <c r="AG885" s="109"/>
      <c r="AH885" s="109"/>
      <c r="AI885" s="109"/>
    </row>
    <row r="886">
      <c r="A886" s="112"/>
      <c r="B886" s="112"/>
      <c r="C886" s="112"/>
      <c r="D886" s="119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09"/>
      <c r="AB886" s="109"/>
      <c r="AC886" s="109"/>
      <c r="AD886" s="109"/>
      <c r="AE886" s="109"/>
      <c r="AF886" s="109"/>
      <c r="AG886" s="109"/>
      <c r="AH886" s="109"/>
      <c r="AI886" s="109"/>
    </row>
    <row r="887">
      <c r="A887" s="112"/>
      <c r="B887" s="112"/>
      <c r="C887" s="112"/>
      <c r="D887" s="119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  <c r="AA887" s="109"/>
      <c r="AB887" s="109"/>
      <c r="AC887" s="109"/>
      <c r="AD887" s="109"/>
      <c r="AE887" s="109"/>
      <c r="AF887" s="109"/>
      <c r="AG887" s="109"/>
      <c r="AH887" s="109"/>
      <c r="AI887" s="109"/>
    </row>
    <row r="888">
      <c r="A888" s="112"/>
      <c r="B888" s="112"/>
      <c r="C888" s="112"/>
      <c r="D888" s="119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  <c r="AA888" s="109"/>
      <c r="AB888" s="109"/>
      <c r="AC888" s="109"/>
      <c r="AD888" s="109"/>
      <c r="AE888" s="109"/>
      <c r="AF888" s="109"/>
      <c r="AG888" s="109"/>
      <c r="AH888" s="109"/>
      <c r="AI888" s="109"/>
    </row>
    <row r="889">
      <c r="A889" s="112"/>
      <c r="B889" s="112"/>
      <c r="C889" s="112"/>
      <c r="D889" s="119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  <c r="AA889" s="109"/>
      <c r="AB889" s="109"/>
      <c r="AC889" s="109"/>
      <c r="AD889" s="109"/>
      <c r="AE889" s="109"/>
      <c r="AF889" s="109"/>
      <c r="AG889" s="109"/>
      <c r="AH889" s="109"/>
      <c r="AI889" s="109"/>
    </row>
    <row r="890">
      <c r="A890" s="112"/>
      <c r="B890" s="112"/>
      <c r="C890" s="112"/>
      <c r="D890" s="119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  <c r="AA890" s="109"/>
      <c r="AB890" s="109"/>
      <c r="AC890" s="109"/>
      <c r="AD890" s="109"/>
      <c r="AE890" s="109"/>
      <c r="AF890" s="109"/>
      <c r="AG890" s="109"/>
      <c r="AH890" s="109"/>
      <c r="AI890" s="109"/>
    </row>
    <row r="891">
      <c r="A891" s="112"/>
      <c r="B891" s="112"/>
      <c r="C891" s="112"/>
      <c r="D891" s="119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  <c r="AA891" s="109"/>
      <c r="AB891" s="109"/>
      <c r="AC891" s="109"/>
      <c r="AD891" s="109"/>
      <c r="AE891" s="109"/>
      <c r="AF891" s="109"/>
      <c r="AG891" s="109"/>
      <c r="AH891" s="109"/>
      <c r="AI891" s="109"/>
    </row>
    <row r="892">
      <c r="A892" s="112"/>
      <c r="B892" s="112"/>
      <c r="C892" s="112"/>
      <c r="D892" s="119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  <c r="AA892" s="109"/>
      <c r="AB892" s="109"/>
      <c r="AC892" s="109"/>
      <c r="AD892" s="109"/>
      <c r="AE892" s="109"/>
      <c r="AF892" s="109"/>
      <c r="AG892" s="109"/>
      <c r="AH892" s="109"/>
      <c r="AI892" s="109"/>
    </row>
    <row r="893">
      <c r="A893" s="112"/>
      <c r="B893" s="112"/>
      <c r="C893" s="112"/>
      <c r="D893" s="119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  <c r="AA893" s="109"/>
      <c r="AB893" s="109"/>
      <c r="AC893" s="109"/>
      <c r="AD893" s="109"/>
      <c r="AE893" s="109"/>
      <c r="AF893" s="109"/>
      <c r="AG893" s="109"/>
      <c r="AH893" s="109"/>
      <c r="AI893" s="109"/>
    </row>
    <row r="894">
      <c r="A894" s="112"/>
      <c r="B894" s="112"/>
      <c r="C894" s="112"/>
      <c r="D894" s="119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  <c r="AA894" s="109"/>
      <c r="AB894" s="109"/>
      <c r="AC894" s="109"/>
      <c r="AD894" s="109"/>
      <c r="AE894" s="109"/>
      <c r="AF894" s="109"/>
      <c r="AG894" s="109"/>
      <c r="AH894" s="109"/>
      <c r="AI894" s="109"/>
    </row>
    <row r="895">
      <c r="A895" s="112"/>
      <c r="B895" s="112"/>
      <c r="C895" s="112"/>
      <c r="D895" s="119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  <c r="AA895" s="109"/>
      <c r="AB895" s="109"/>
      <c r="AC895" s="109"/>
      <c r="AD895" s="109"/>
      <c r="AE895" s="109"/>
      <c r="AF895" s="109"/>
      <c r="AG895" s="109"/>
      <c r="AH895" s="109"/>
      <c r="AI895" s="109"/>
    </row>
    <row r="896">
      <c r="A896" s="112"/>
      <c r="B896" s="112"/>
      <c r="C896" s="112"/>
      <c r="D896" s="119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  <c r="AA896" s="109"/>
      <c r="AB896" s="109"/>
      <c r="AC896" s="109"/>
      <c r="AD896" s="109"/>
      <c r="AE896" s="109"/>
      <c r="AF896" s="109"/>
      <c r="AG896" s="109"/>
      <c r="AH896" s="109"/>
      <c r="AI896" s="109"/>
    </row>
    <row r="897">
      <c r="A897" s="112"/>
      <c r="B897" s="112"/>
      <c r="C897" s="112"/>
      <c r="D897" s="119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  <c r="AA897" s="109"/>
      <c r="AB897" s="109"/>
      <c r="AC897" s="109"/>
      <c r="AD897" s="109"/>
      <c r="AE897" s="109"/>
      <c r="AF897" s="109"/>
      <c r="AG897" s="109"/>
      <c r="AH897" s="109"/>
      <c r="AI897" s="109"/>
    </row>
    <row r="898">
      <c r="A898" s="112"/>
      <c r="B898" s="112"/>
      <c r="C898" s="112"/>
      <c r="D898" s="119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  <c r="AA898" s="109"/>
      <c r="AB898" s="109"/>
      <c r="AC898" s="109"/>
      <c r="AD898" s="109"/>
      <c r="AE898" s="109"/>
      <c r="AF898" s="109"/>
      <c r="AG898" s="109"/>
      <c r="AH898" s="109"/>
      <c r="AI898" s="109"/>
    </row>
    <row r="899">
      <c r="A899" s="112"/>
      <c r="B899" s="112"/>
      <c r="C899" s="112"/>
      <c r="D899" s="119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  <c r="AA899" s="109"/>
      <c r="AB899" s="109"/>
      <c r="AC899" s="109"/>
      <c r="AD899" s="109"/>
      <c r="AE899" s="109"/>
      <c r="AF899" s="109"/>
      <c r="AG899" s="109"/>
      <c r="AH899" s="109"/>
      <c r="AI899" s="109"/>
    </row>
    <row r="900">
      <c r="A900" s="112"/>
      <c r="B900" s="112"/>
      <c r="C900" s="112"/>
      <c r="D900" s="119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  <c r="AA900" s="109"/>
      <c r="AB900" s="109"/>
      <c r="AC900" s="109"/>
      <c r="AD900" s="109"/>
      <c r="AE900" s="109"/>
      <c r="AF900" s="109"/>
      <c r="AG900" s="109"/>
      <c r="AH900" s="109"/>
      <c r="AI900" s="109"/>
    </row>
    <row r="901">
      <c r="A901" s="112"/>
      <c r="B901" s="112"/>
      <c r="C901" s="112"/>
      <c r="D901" s="119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09"/>
      <c r="AB901" s="109"/>
      <c r="AC901" s="109"/>
      <c r="AD901" s="109"/>
      <c r="AE901" s="109"/>
      <c r="AF901" s="109"/>
      <c r="AG901" s="109"/>
      <c r="AH901" s="109"/>
      <c r="AI901" s="109"/>
    </row>
    <row r="902">
      <c r="A902" s="112"/>
      <c r="B902" s="112"/>
      <c r="C902" s="112"/>
      <c r="D902" s="119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09"/>
      <c r="AB902" s="109"/>
      <c r="AC902" s="109"/>
      <c r="AD902" s="109"/>
      <c r="AE902" s="109"/>
      <c r="AF902" s="109"/>
      <c r="AG902" s="109"/>
      <c r="AH902" s="109"/>
      <c r="AI902" s="109"/>
    </row>
    <row r="903">
      <c r="A903" s="112"/>
      <c r="B903" s="112"/>
      <c r="C903" s="112"/>
      <c r="D903" s="119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09"/>
      <c r="AB903" s="109"/>
      <c r="AC903" s="109"/>
      <c r="AD903" s="109"/>
      <c r="AE903" s="109"/>
      <c r="AF903" s="109"/>
      <c r="AG903" s="109"/>
      <c r="AH903" s="109"/>
      <c r="AI903" s="109"/>
    </row>
    <row r="904">
      <c r="A904" s="112"/>
      <c r="B904" s="112"/>
      <c r="C904" s="112"/>
      <c r="D904" s="119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09"/>
      <c r="AB904" s="109"/>
      <c r="AC904" s="109"/>
      <c r="AD904" s="109"/>
      <c r="AE904" s="109"/>
      <c r="AF904" s="109"/>
      <c r="AG904" s="109"/>
      <c r="AH904" s="109"/>
      <c r="AI904" s="109"/>
    </row>
    <row r="905">
      <c r="A905" s="112"/>
      <c r="B905" s="112"/>
      <c r="C905" s="112"/>
      <c r="D905" s="119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09"/>
      <c r="AB905" s="109"/>
      <c r="AC905" s="109"/>
      <c r="AD905" s="109"/>
      <c r="AE905" s="109"/>
      <c r="AF905" s="109"/>
      <c r="AG905" s="109"/>
      <c r="AH905" s="109"/>
      <c r="AI905" s="109"/>
    </row>
    <row r="906">
      <c r="A906" s="112"/>
      <c r="B906" s="112"/>
      <c r="C906" s="112"/>
      <c r="D906" s="119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09"/>
      <c r="AB906" s="109"/>
      <c r="AC906" s="109"/>
      <c r="AD906" s="109"/>
      <c r="AE906" s="109"/>
      <c r="AF906" s="109"/>
      <c r="AG906" s="109"/>
      <c r="AH906" s="109"/>
      <c r="AI906" s="109"/>
    </row>
    <row r="907">
      <c r="A907" s="112"/>
      <c r="B907" s="112"/>
      <c r="C907" s="112"/>
      <c r="D907" s="119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09"/>
      <c r="AB907" s="109"/>
      <c r="AC907" s="109"/>
      <c r="AD907" s="109"/>
      <c r="AE907" s="109"/>
      <c r="AF907" s="109"/>
      <c r="AG907" s="109"/>
      <c r="AH907" s="109"/>
      <c r="AI907" s="109"/>
    </row>
    <row r="908">
      <c r="A908" s="112"/>
      <c r="B908" s="112"/>
      <c r="C908" s="112"/>
      <c r="D908" s="119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09"/>
      <c r="AB908" s="109"/>
      <c r="AC908" s="109"/>
      <c r="AD908" s="109"/>
      <c r="AE908" s="109"/>
      <c r="AF908" s="109"/>
      <c r="AG908" s="109"/>
      <c r="AH908" s="109"/>
      <c r="AI908" s="109"/>
    </row>
    <row r="909">
      <c r="A909" s="112"/>
      <c r="B909" s="112"/>
      <c r="C909" s="112"/>
      <c r="D909" s="119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09"/>
      <c r="AB909" s="109"/>
      <c r="AC909" s="109"/>
      <c r="AD909" s="109"/>
      <c r="AE909" s="109"/>
      <c r="AF909" s="109"/>
      <c r="AG909" s="109"/>
      <c r="AH909" s="109"/>
      <c r="AI909" s="109"/>
    </row>
    <row r="910">
      <c r="A910" s="112"/>
      <c r="B910" s="112"/>
      <c r="C910" s="112"/>
      <c r="D910" s="119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09"/>
      <c r="AB910" s="109"/>
      <c r="AC910" s="109"/>
      <c r="AD910" s="109"/>
      <c r="AE910" s="109"/>
      <c r="AF910" s="109"/>
      <c r="AG910" s="109"/>
      <c r="AH910" s="109"/>
      <c r="AI910" s="109"/>
    </row>
    <row r="911">
      <c r="A911" s="112"/>
      <c r="B911" s="112"/>
      <c r="C911" s="112"/>
      <c r="D911" s="119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09"/>
      <c r="AB911" s="109"/>
      <c r="AC911" s="109"/>
      <c r="AD911" s="109"/>
      <c r="AE911" s="109"/>
      <c r="AF911" s="109"/>
      <c r="AG911" s="109"/>
      <c r="AH911" s="109"/>
      <c r="AI911" s="109"/>
    </row>
    <row r="912">
      <c r="A912" s="112"/>
      <c r="B912" s="112"/>
      <c r="C912" s="112"/>
      <c r="D912" s="119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  <c r="AA912" s="109"/>
      <c r="AB912" s="109"/>
      <c r="AC912" s="109"/>
      <c r="AD912" s="109"/>
      <c r="AE912" s="109"/>
      <c r="AF912" s="109"/>
      <c r="AG912" s="109"/>
      <c r="AH912" s="109"/>
      <c r="AI912" s="109"/>
    </row>
    <row r="913">
      <c r="A913" s="112"/>
      <c r="B913" s="112"/>
      <c r="C913" s="112"/>
      <c r="D913" s="119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  <c r="AA913" s="109"/>
      <c r="AB913" s="109"/>
      <c r="AC913" s="109"/>
      <c r="AD913" s="109"/>
      <c r="AE913" s="109"/>
      <c r="AF913" s="109"/>
      <c r="AG913" s="109"/>
      <c r="AH913" s="109"/>
      <c r="AI913" s="109"/>
    </row>
    <row r="914">
      <c r="A914" s="112"/>
      <c r="B914" s="112"/>
      <c r="C914" s="112"/>
      <c r="D914" s="119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  <c r="AA914" s="109"/>
      <c r="AB914" s="109"/>
      <c r="AC914" s="109"/>
      <c r="AD914" s="109"/>
      <c r="AE914" s="109"/>
      <c r="AF914" s="109"/>
      <c r="AG914" s="109"/>
      <c r="AH914" s="109"/>
      <c r="AI914" s="109"/>
    </row>
    <row r="915">
      <c r="A915" s="112"/>
      <c r="B915" s="112"/>
      <c r="C915" s="112"/>
      <c r="D915" s="119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  <c r="AA915" s="109"/>
      <c r="AB915" s="109"/>
      <c r="AC915" s="109"/>
      <c r="AD915" s="109"/>
      <c r="AE915" s="109"/>
      <c r="AF915" s="109"/>
      <c r="AG915" s="109"/>
      <c r="AH915" s="109"/>
      <c r="AI915" s="109"/>
    </row>
    <row r="916">
      <c r="A916" s="112"/>
      <c r="B916" s="112"/>
      <c r="C916" s="112"/>
      <c r="D916" s="119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  <c r="AA916" s="109"/>
      <c r="AB916" s="109"/>
      <c r="AC916" s="109"/>
      <c r="AD916" s="109"/>
      <c r="AE916" s="109"/>
      <c r="AF916" s="109"/>
      <c r="AG916" s="109"/>
      <c r="AH916" s="109"/>
      <c r="AI916" s="109"/>
    </row>
    <row r="917">
      <c r="A917" s="112"/>
      <c r="B917" s="112"/>
      <c r="C917" s="112"/>
      <c r="D917" s="119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  <c r="AA917" s="109"/>
      <c r="AB917" s="109"/>
      <c r="AC917" s="109"/>
      <c r="AD917" s="109"/>
      <c r="AE917" s="109"/>
      <c r="AF917" s="109"/>
      <c r="AG917" s="109"/>
      <c r="AH917" s="109"/>
      <c r="AI917" s="109"/>
    </row>
    <row r="918">
      <c r="A918" s="112"/>
      <c r="B918" s="112"/>
      <c r="C918" s="112"/>
      <c r="D918" s="119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  <c r="AA918" s="109"/>
      <c r="AB918" s="109"/>
      <c r="AC918" s="109"/>
      <c r="AD918" s="109"/>
      <c r="AE918" s="109"/>
      <c r="AF918" s="109"/>
      <c r="AG918" s="109"/>
      <c r="AH918" s="109"/>
      <c r="AI918" s="109"/>
    </row>
    <row r="919">
      <c r="A919" s="112"/>
      <c r="B919" s="112"/>
      <c r="C919" s="112"/>
      <c r="D919" s="119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  <c r="AA919" s="109"/>
      <c r="AB919" s="109"/>
      <c r="AC919" s="109"/>
      <c r="AD919" s="109"/>
      <c r="AE919" s="109"/>
      <c r="AF919" s="109"/>
      <c r="AG919" s="109"/>
      <c r="AH919" s="109"/>
      <c r="AI919" s="109"/>
    </row>
    <row r="920">
      <c r="A920" s="112"/>
      <c r="B920" s="112"/>
      <c r="C920" s="112"/>
      <c r="D920" s="119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  <c r="AA920" s="109"/>
      <c r="AB920" s="109"/>
      <c r="AC920" s="109"/>
      <c r="AD920" s="109"/>
      <c r="AE920" s="109"/>
      <c r="AF920" s="109"/>
      <c r="AG920" s="109"/>
      <c r="AH920" s="109"/>
      <c r="AI920" s="109"/>
    </row>
    <row r="921">
      <c r="A921" s="112"/>
      <c r="B921" s="112"/>
      <c r="C921" s="112"/>
      <c r="D921" s="119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  <c r="AA921" s="109"/>
      <c r="AB921" s="109"/>
      <c r="AC921" s="109"/>
      <c r="AD921" s="109"/>
      <c r="AE921" s="109"/>
      <c r="AF921" s="109"/>
      <c r="AG921" s="109"/>
      <c r="AH921" s="109"/>
      <c r="AI921" s="109"/>
    </row>
    <row r="922">
      <c r="A922" s="112"/>
      <c r="B922" s="112"/>
      <c r="C922" s="112"/>
      <c r="D922" s="119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  <c r="AA922" s="109"/>
      <c r="AB922" s="109"/>
      <c r="AC922" s="109"/>
      <c r="AD922" s="109"/>
      <c r="AE922" s="109"/>
      <c r="AF922" s="109"/>
      <c r="AG922" s="109"/>
      <c r="AH922" s="109"/>
      <c r="AI922" s="109"/>
    </row>
    <row r="923">
      <c r="A923" s="112"/>
      <c r="B923" s="112"/>
      <c r="C923" s="112"/>
      <c r="D923" s="119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09"/>
      <c r="AB923" s="109"/>
      <c r="AC923" s="109"/>
      <c r="AD923" s="109"/>
      <c r="AE923" s="109"/>
      <c r="AF923" s="109"/>
      <c r="AG923" s="109"/>
      <c r="AH923" s="109"/>
      <c r="AI923" s="109"/>
    </row>
    <row r="924">
      <c r="A924" s="112"/>
      <c r="B924" s="112"/>
      <c r="C924" s="112"/>
      <c r="D924" s="119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  <c r="AA924" s="109"/>
      <c r="AB924" s="109"/>
      <c r="AC924" s="109"/>
      <c r="AD924" s="109"/>
      <c r="AE924" s="109"/>
      <c r="AF924" s="109"/>
      <c r="AG924" s="109"/>
      <c r="AH924" s="109"/>
      <c r="AI924" s="109"/>
    </row>
    <row r="925">
      <c r="A925" s="112"/>
      <c r="B925" s="112"/>
      <c r="C925" s="112"/>
      <c r="D925" s="119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  <c r="AA925" s="109"/>
      <c r="AB925" s="109"/>
      <c r="AC925" s="109"/>
      <c r="AD925" s="109"/>
      <c r="AE925" s="109"/>
      <c r="AF925" s="109"/>
      <c r="AG925" s="109"/>
      <c r="AH925" s="109"/>
      <c r="AI925" s="109"/>
    </row>
    <row r="926">
      <c r="A926" s="112"/>
      <c r="B926" s="112"/>
      <c r="C926" s="112"/>
      <c r="D926" s="119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  <c r="AA926" s="109"/>
      <c r="AB926" s="109"/>
      <c r="AC926" s="109"/>
      <c r="AD926" s="109"/>
      <c r="AE926" s="109"/>
      <c r="AF926" s="109"/>
      <c r="AG926" s="109"/>
      <c r="AH926" s="109"/>
      <c r="AI926" s="109"/>
    </row>
    <row r="927">
      <c r="A927" s="112"/>
      <c r="B927" s="112"/>
      <c r="C927" s="112"/>
      <c r="D927" s="119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  <c r="AA927" s="109"/>
      <c r="AB927" s="109"/>
      <c r="AC927" s="109"/>
      <c r="AD927" s="109"/>
      <c r="AE927" s="109"/>
      <c r="AF927" s="109"/>
      <c r="AG927" s="109"/>
      <c r="AH927" s="109"/>
      <c r="AI927" s="109"/>
    </row>
    <row r="928">
      <c r="A928" s="112"/>
      <c r="B928" s="112"/>
      <c r="C928" s="112"/>
      <c r="D928" s="119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  <c r="AA928" s="109"/>
      <c r="AB928" s="109"/>
      <c r="AC928" s="109"/>
      <c r="AD928" s="109"/>
      <c r="AE928" s="109"/>
      <c r="AF928" s="109"/>
      <c r="AG928" s="109"/>
      <c r="AH928" s="109"/>
      <c r="AI928" s="109"/>
    </row>
    <row r="929">
      <c r="A929" s="112"/>
      <c r="B929" s="112"/>
      <c r="C929" s="112"/>
      <c r="D929" s="119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  <c r="AA929" s="109"/>
      <c r="AB929" s="109"/>
      <c r="AC929" s="109"/>
      <c r="AD929" s="109"/>
      <c r="AE929" s="109"/>
      <c r="AF929" s="109"/>
      <c r="AG929" s="109"/>
      <c r="AH929" s="109"/>
      <c r="AI929" s="109"/>
    </row>
    <row r="930">
      <c r="A930" s="112"/>
      <c r="B930" s="112"/>
      <c r="C930" s="112"/>
      <c r="D930" s="119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  <c r="AA930" s="109"/>
      <c r="AB930" s="109"/>
      <c r="AC930" s="109"/>
      <c r="AD930" s="109"/>
      <c r="AE930" s="109"/>
      <c r="AF930" s="109"/>
      <c r="AG930" s="109"/>
      <c r="AH930" s="109"/>
      <c r="AI930" s="109"/>
    </row>
    <row r="931">
      <c r="A931" s="112"/>
      <c r="B931" s="112"/>
      <c r="C931" s="112"/>
      <c r="D931" s="119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  <c r="AA931" s="109"/>
      <c r="AB931" s="109"/>
      <c r="AC931" s="109"/>
      <c r="AD931" s="109"/>
      <c r="AE931" s="109"/>
      <c r="AF931" s="109"/>
      <c r="AG931" s="109"/>
      <c r="AH931" s="109"/>
      <c r="AI931" s="109"/>
    </row>
    <row r="932">
      <c r="A932" s="112"/>
      <c r="B932" s="112"/>
      <c r="C932" s="112"/>
      <c r="D932" s="119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  <c r="AA932" s="109"/>
      <c r="AB932" s="109"/>
      <c r="AC932" s="109"/>
      <c r="AD932" s="109"/>
      <c r="AE932" s="109"/>
      <c r="AF932" s="109"/>
      <c r="AG932" s="109"/>
      <c r="AH932" s="109"/>
      <c r="AI932" s="109"/>
    </row>
    <row r="933">
      <c r="A933" s="112"/>
      <c r="B933" s="112"/>
      <c r="C933" s="112"/>
      <c r="D933" s="119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  <c r="AA933" s="109"/>
      <c r="AB933" s="109"/>
      <c r="AC933" s="109"/>
      <c r="AD933" s="109"/>
      <c r="AE933" s="109"/>
      <c r="AF933" s="109"/>
      <c r="AG933" s="109"/>
      <c r="AH933" s="109"/>
      <c r="AI933" s="109"/>
    </row>
    <row r="934">
      <c r="A934" s="112"/>
      <c r="B934" s="112"/>
      <c r="C934" s="112"/>
      <c r="D934" s="119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  <c r="AA934" s="109"/>
      <c r="AB934" s="109"/>
      <c r="AC934" s="109"/>
      <c r="AD934" s="109"/>
      <c r="AE934" s="109"/>
      <c r="AF934" s="109"/>
      <c r="AG934" s="109"/>
      <c r="AH934" s="109"/>
      <c r="AI934" s="109"/>
    </row>
    <row r="935">
      <c r="A935" s="112"/>
      <c r="B935" s="112"/>
      <c r="C935" s="112"/>
      <c r="D935" s="119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  <c r="AA935" s="109"/>
      <c r="AB935" s="109"/>
      <c r="AC935" s="109"/>
      <c r="AD935" s="109"/>
      <c r="AE935" s="109"/>
      <c r="AF935" s="109"/>
      <c r="AG935" s="109"/>
      <c r="AH935" s="109"/>
      <c r="AI935" s="109"/>
    </row>
    <row r="936">
      <c r="A936" s="112"/>
      <c r="B936" s="112"/>
      <c r="C936" s="112"/>
      <c r="D936" s="119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  <c r="AA936" s="109"/>
      <c r="AB936" s="109"/>
      <c r="AC936" s="109"/>
      <c r="AD936" s="109"/>
      <c r="AE936" s="109"/>
      <c r="AF936" s="109"/>
      <c r="AG936" s="109"/>
      <c r="AH936" s="109"/>
      <c r="AI936" s="109"/>
    </row>
    <row r="937">
      <c r="A937" s="112"/>
      <c r="B937" s="112"/>
      <c r="C937" s="112"/>
      <c r="D937" s="119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  <c r="AA937" s="109"/>
      <c r="AB937" s="109"/>
      <c r="AC937" s="109"/>
      <c r="AD937" s="109"/>
      <c r="AE937" s="109"/>
      <c r="AF937" s="109"/>
      <c r="AG937" s="109"/>
      <c r="AH937" s="109"/>
      <c r="AI937" s="109"/>
    </row>
    <row r="938">
      <c r="A938" s="112"/>
      <c r="B938" s="112"/>
      <c r="C938" s="112"/>
      <c r="D938" s="119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09"/>
      <c r="AB938" s="109"/>
      <c r="AC938" s="109"/>
      <c r="AD938" s="109"/>
      <c r="AE938" s="109"/>
      <c r="AF938" s="109"/>
      <c r="AG938" s="109"/>
      <c r="AH938" s="109"/>
      <c r="AI938" s="109"/>
    </row>
    <row r="939">
      <c r="A939" s="112"/>
      <c r="B939" s="112"/>
      <c r="C939" s="112"/>
      <c r="D939" s="119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09"/>
      <c r="AB939" s="109"/>
      <c r="AC939" s="109"/>
      <c r="AD939" s="109"/>
      <c r="AE939" s="109"/>
      <c r="AF939" s="109"/>
      <c r="AG939" s="109"/>
      <c r="AH939" s="109"/>
      <c r="AI939" s="109"/>
    </row>
    <row r="940">
      <c r="A940" s="112"/>
      <c r="B940" s="112"/>
      <c r="C940" s="112"/>
      <c r="D940" s="119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09"/>
      <c r="AB940" s="109"/>
      <c r="AC940" s="109"/>
      <c r="AD940" s="109"/>
      <c r="AE940" s="109"/>
      <c r="AF940" s="109"/>
      <c r="AG940" s="109"/>
      <c r="AH940" s="109"/>
      <c r="AI940" s="109"/>
    </row>
    <row r="941">
      <c r="A941" s="112"/>
      <c r="B941" s="112"/>
      <c r="C941" s="112"/>
      <c r="D941" s="119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09"/>
      <c r="AB941" s="109"/>
      <c r="AC941" s="109"/>
      <c r="AD941" s="109"/>
      <c r="AE941" s="109"/>
      <c r="AF941" s="109"/>
      <c r="AG941" s="109"/>
      <c r="AH941" s="109"/>
      <c r="AI941" s="109"/>
    </row>
    <row r="942">
      <c r="A942" s="112"/>
      <c r="B942" s="112"/>
      <c r="C942" s="112"/>
      <c r="D942" s="119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09"/>
      <c r="AB942" s="109"/>
      <c r="AC942" s="109"/>
      <c r="AD942" s="109"/>
      <c r="AE942" s="109"/>
      <c r="AF942" s="109"/>
      <c r="AG942" s="109"/>
      <c r="AH942" s="109"/>
      <c r="AI942" s="109"/>
    </row>
    <row r="943">
      <c r="A943" s="112"/>
      <c r="B943" s="112"/>
      <c r="C943" s="112"/>
      <c r="D943" s="119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  <c r="AA943" s="109"/>
      <c r="AB943" s="109"/>
      <c r="AC943" s="109"/>
      <c r="AD943" s="109"/>
      <c r="AE943" s="109"/>
      <c r="AF943" s="109"/>
      <c r="AG943" s="109"/>
      <c r="AH943" s="109"/>
      <c r="AI943" s="109"/>
    </row>
    <row r="944">
      <c r="A944" s="112"/>
      <c r="B944" s="112"/>
      <c r="C944" s="112"/>
      <c r="D944" s="119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  <c r="AA944" s="109"/>
      <c r="AB944" s="109"/>
      <c r="AC944" s="109"/>
      <c r="AD944" s="109"/>
      <c r="AE944" s="109"/>
      <c r="AF944" s="109"/>
      <c r="AG944" s="109"/>
      <c r="AH944" s="109"/>
      <c r="AI944" s="109"/>
    </row>
    <row r="945">
      <c r="A945" s="112"/>
      <c r="B945" s="112"/>
      <c r="C945" s="112"/>
      <c r="D945" s="119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09"/>
      <c r="AB945" s="109"/>
      <c r="AC945" s="109"/>
      <c r="AD945" s="109"/>
      <c r="AE945" s="109"/>
      <c r="AF945" s="109"/>
      <c r="AG945" s="109"/>
      <c r="AH945" s="109"/>
      <c r="AI945" s="109"/>
    </row>
    <row r="946">
      <c r="A946" s="112"/>
      <c r="B946" s="112"/>
      <c r="C946" s="112"/>
      <c r="D946" s="119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09"/>
      <c r="AB946" s="109"/>
      <c r="AC946" s="109"/>
      <c r="AD946" s="109"/>
      <c r="AE946" s="109"/>
      <c r="AF946" s="109"/>
      <c r="AG946" s="109"/>
      <c r="AH946" s="109"/>
      <c r="AI946" s="109"/>
    </row>
    <row r="947">
      <c r="A947" s="112"/>
      <c r="B947" s="112"/>
      <c r="C947" s="112"/>
      <c r="D947" s="119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09"/>
      <c r="AB947" s="109"/>
      <c r="AC947" s="109"/>
      <c r="AD947" s="109"/>
      <c r="AE947" s="109"/>
      <c r="AF947" s="109"/>
      <c r="AG947" s="109"/>
      <c r="AH947" s="109"/>
      <c r="AI947" s="109"/>
    </row>
    <row r="948">
      <c r="A948" s="112"/>
      <c r="B948" s="112"/>
      <c r="C948" s="112"/>
      <c r="D948" s="119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  <c r="AA948" s="109"/>
      <c r="AB948" s="109"/>
      <c r="AC948" s="109"/>
      <c r="AD948" s="109"/>
      <c r="AE948" s="109"/>
      <c r="AF948" s="109"/>
      <c r="AG948" s="109"/>
      <c r="AH948" s="109"/>
      <c r="AI948" s="109"/>
    </row>
    <row r="949">
      <c r="A949" s="112"/>
      <c r="B949" s="112"/>
      <c r="C949" s="112"/>
      <c r="D949" s="119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  <c r="AA949" s="109"/>
      <c r="AB949" s="109"/>
      <c r="AC949" s="109"/>
      <c r="AD949" s="109"/>
      <c r="AE949" s="109"/>
      <c r="AF949" s="109"/>
      <c r="AG949" s="109"/>
      <c r="AH949" s="109"/>
      <c r="AI949" s="109"/>
    </row>
    <row r="950">
      <c r="A950" s="112"/>
      <c r="B950" s="112"/>
      <c r="C950" s="112"/>
      <c r="D950" s="119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09"/>
      <c r="AB950" s="109"/>
      <c r="AC950" s="109"/>
      <c r="AD950" s="109"/>
      <c r="AE950" s="109"/>
      <c r="AF950" s="109"/>
      <c r="AG950" s="109"/>
      <c r="AH950" s="109"/>
      <c r="AI950" s="109"/>
    </row>
    <row r="951">
      <c r="A951" s="112"/>
      <c r="B951" s="112"/>
      <c r="C951" s="112"/>
      <c r="D951" s="119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09"/>
      <c r="AB951" s="109"/>
      <c r="AC951" s="109"/>
      <c r="AD951" s="109"/>
      <c r="AE951" s="109"/>
      <c r="AF951" s="109"/>
      <c r="AG951" s="109"/>
      <c r="AH951" s="109"/>
      <c r="AI951" s="109"/>
    </row>
    <row r="952">
      <c r="A952" s="112"/>
      <c r="B952" s="112"/>
      <c r="C952" s="112"/>
      <c r="D952" s="119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09"/>
      <c r="AB952" s="109"/>
      <c r="AC952" s="109"/>
      <c r="AD952" s="109"/>
      <c r="AE952" s="109"/>
      <c r="AF952" s="109"/>
      <c r="AG952" s="109"/>
      <c r="AH952" s="109"/>
      <c r="AI952" s="109"/>
    </row>
    <row r="953">
      <c r="A953" s="112"/>
      <c r="B953" s="112"/>
      <c r="C953" s="112"/>
      <c r="D953" s="119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  <c r="AA953" s="109"/>
      <c r="AB953" s="109"/>
      <c r="AC953" s="109"/>
      <c r="AD953" s="109"/>
      <c r="AE953" s="109"/>
      <c r="AF953" s="109"/>
      <c r="AG953" s="109"/>
      <c r="AH953" s="109"/>
      <c r="AI953" s="109"/>
    </row>
    <row r="954">
      <c r="A954" s="112"/>
      <c r="B954" s="112"/>
      <c r="C954" s="112"/>
      <c r="D954" s="119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  <c r="AA954" s="109"/>
      <c r="AB954" s="109"/>
      <c r="AC954" s="109"/>
      <c r="AD954" s="109"/>
      <c r="AE954" s="109"/>
      <c r="AF954" s="109"/>
      <c r="AG954" s="109"/>
      <c r="AH954" s="109"/>
      <c r="AI954" s="109"/>
    </row>
    <row r="955">
      <c r="A955" s="112"/>
      <c r="B955" s="112"/>
      <c r="C955" s="112"/>
      <c r="D955" s="119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09"/>
      <c r="AB955" s="109"/>
      <c r="AC955" s="109"/>
      <c r="AD955" s="109"/>
      <c r="AE955" s="109"/>
      <c r="AF955" s="109"/>
      <c r="AG955" s="109"/>
      <c r="AH955" s="109"/>
      <c r="AI955" s="109"/>
    </row>
    <row r="956">
      <c r="A956" s="112"/>
      <c r="B956" s="112"/>
      <c r="C956" s="112"/>
      <c r="D956" s="119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09"/>
      <c r="AB956" s="109"/>
      <c r="AC956" s="109"/>
      <c r="AD956" s="109"/>
      <c r="AE956" s="109"/>
      <c r="AF956" s="109"/>
      <c r="AG956" s="109"/>
      <c r="AH956" s="109"/>
      <c r="AI956" s="109"/>
    </row>
    <row r="957">
      <c r="A957" s="112"/>
      <c r="B957" s="112"/>
      <c r="C957" s="112"/>
      <c r="D957" s="119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  <c r="AA957" s="109"/>
      <c r="AB957" s="109"/>
      <c r="AC957" s="109"/>
      <c r="AD957" s="109"/>
      <c r="AE957" s="109"/>
      <c r="AF957" s="109"/>
      <c r="AG957" s="109"/>
      <c r="AH957" s="109"/>
      <c r="AI957" s="109"/>
    </row>
    <row r="958">
      <c r="A958" s="112"/>
      <c r="B958" s="112"/>
      <c r="C958" s="112"/>
      <c r="D958" s="119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09"/>
      <c r="AB958" s="109"/>
      <c r="AC958" s="109"/>
      <c r="AD958" s="109"/>
      <c r="AE958" s="109"/>
      <c r="AF958" s="109"/>
      <c r="AG958" s="109"/>
      <c r="AH958" s="109"/>
      <c r="AI958" s="109"/>
    </row>
    <row r="959">
      <c r="A959" s="112"/>
      <c r="B959" s="112"/>
      <c r="C959" s="112"/>
      <c r="D959" s="119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09"/>
      <c r="AB959" s="109"/>
      <c r="AC959" s="109"/>
      <c r="AD959" s="109"/>
      <c r="AE959" s="109"/>
      <c r="AF959" s="109"/>
      <c r="AG959" s="109"/>
      <c r="AH959" s="109"/>
      <c r="AI959" s="109"/>
    </row>
    <row r="960">
      <c r="A960" s="112"/>
      <c r="B960" s="112"/>
      <c r="C960" s="112"/>
      <c r="D960" s="119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09"/>
      <c r="AB960" s="109"/>
      <c r="AC960" s="109"/>
      <c r="AD960" s="109"/>
      <c r="AE960" s="109"/>
      <c r="AF960" s="109"/>
      <c r="AG960" s="109"/>
      <c r="AH960" s="109"/>
      <c r="AI960" s="109"/>
    </row>
    <row r="961">
      <c r="A961" s="112"/>
      <c r="B961" s="112"/>
      <c r="C961" s="112"/>
      <c r="D961" s="119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09"/>
      <c r="AB961" s="109"/>
      <c r="AC961" s="109"/>
      <c r="AD961" s="109"/>
      <c r="AE961" s="109"/>
      <c r="AF961" s="109"/>
      <c r="AG961" s="109"/>
      <c r="AH961" s="109"/>
      <c r="AI961" s="109"/>
    </row>
    <row r="962">
      <c r="A962" s="112"/>
      <c r="B962" s="112"/>
      <c r="C962" s="112"/>
      <c r="D962" s="119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09"/>
      <c r="AB962" s="109"/>
      <c r="AC962" s="109"/>
      <c r="AD962" s="109"/>
      <c r="AE962" s="109"/>
      <c r="AF962" s="109"/>
      <c r="AG962" s="109"/>
      <c r="AH962" s="109"/>
      <c r="AI962" s="109"/>
    </row>
    <row r="963">
      <c r="A963" s="112"/>
      <c r="B963" s="112"/>
      <c r="C963" s="112"/>
      <c r="D963" s="119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09"/>
      <c r="AB963" s="109"/>
      <c r="AC963" s="109"/>
      <c r="AD963" s="109"/>
      <c r="AE963" s="109"/>
      <c r="AF963" s="109"/>
      <c r="AG963" s="109"/>
      <c r="AH963" s="109"/>
      <c r="AI963" s="109"/>
    </row>
    <row r="964">
      <c r="A964" s="112"/>
      <c r="B964" s="112"/>
      <c r="C964" s="112"/>
      <c r="D964" s="119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09"/>
      <c r="AB964" s="109"/>
      <c r="AC964" s="109"/>
      <c r="AD964" s="109"/>
      <c r="AE964" s="109"/>
      <c r="AF964" s="109"/>
      <c r="AG964" s="109"/>
      <c r="AH964" s="109"/>
      <c r="AI964" s="109"/>
    </row>
    <row r="965">
      <c r="A965" s="112"/>
      <c r="B965" s="112"/>
      <c r="C965" s="112"/>
      <c r="D965" s="119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09"/>
      <c r="AB965" s="109"/>
      <c r="AC965" s="109"/>
      <c r="AD965" s="109"/>
      <c r="AE965" s="109"/>
      <c r="AF965" s="109"/>
      <c r="AG965" s="109"/>
      <c r="AH965" s="109"/>
      <c r="AI965" s="109"/>
    </row>
    <row r="966">
      <c r="A966" s="112"/>
      <c r="B966" s="112"/>
      <c r="C966" s="112"/>
      <c r="D966" s="119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09"/>
      <c r="AB966" s="109"/>
      <c r="AC966" s="109"/>
      <c r="AD966" s="109"/>
      <c r="AE966" s="109"/>
      <c r="AF966" s="109"/>
      <c r="AG966" s="109"/>
      <c r="AH966" s="109"/>
      <c r="AI966" s="109"/>
    </row>
    <row r="967">
      <c r="A967" s="112"/>
      <c r="B967" s="112"/>
      <c r="C967" s="112"/>
      <c r="D967" s="119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09"/>
      <c r="AB967" s="109"/>
      <c r="AC967" s="109"/>
      <c r="AD967" s="109"/>
      <c r="AE967" s="109"/>
      <c r="AF967" s="109"/>
      <c r="AG967" s="109"/>
      <c r="AH967" s="109"/>
      <c r="AI967" s="109"/>
    </row>
    <row r="968">
      <c r="A968" s="112"/>
      <c r="B968" s="112"/>
      <c r="C968" s="112"/>
      <c r="D968" s="119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09"/>
      <c r="AB968" s="109"/>
      <c r="AC968" s="109"/>
      <c r="AD968" s="109"/>
      <c r="AE968" s="109"/>
      <c r="AF968" s="109"/>
      <c r="AG968" s="109"/>
      <c r="AH968" s="109"/>
      <c r="AI968" s="109"/>
    </row>
    <row r="969">
      <c r="A969" s="112"/>
      <c r="B969" s="112"/>
      <c r="C969" s="112"/>
      <c r="D969" s="119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09"/>
      <c r="AB969" s="109"/>
      <c r="AC969" s="109"/>
      <c r="AD969" s="109"/>
      <c r="AE969" s="109"/>
      <c r="AF969" s="109"/>
      <c r="AG969" s="109"/>
      <c r="AH969" s="109"/>
      <c r="AI969" s="109"/>
    </row>
    <row r="970">
      <c r="A970" s="112"/>
      <c r="B970" s="112"/>
      <c r="C970" s="112"/>
      <c r="D970" s="119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09"/>
      <c r="AB970" s="109"/>
      <c r="AC970" s="109"/>
      <c r="AD970" s="109"/>
      <c r="AE970" s="109"/>
      <c r="AF970" s="109"/>
      <c r="AG970" s="109"/>
      <c r="AH970" s="109"/>
      <c r="AI970" s="109"/>
    </row>
    <row r="971">
      <c r="A971" s="112"/>
      <c r="B971" s="112"/>
      <c r="C971" s="112"/>
      <c r="D971" s="119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09"/>
      <c r="AB971" s="109"/>
      <c r="AC971" s="109"/>
      <c r="AD971" s="109"/>
      <c r="AE971" s="109"/>
      <c r="AF971" s="109"/>
      <c r="AG971" s="109"/>
      <c r="AH971" s="109"/>
      <c r="AI971" s="109"/>
    </row>
    <row r="972">
      <c r="A972" s="112"/>
      <c r="B972" s="112"/>
      <c r="C972" s="112"/>
      <c r="D972" s="119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09"/>
      <c r="AB972" s="109"/>
      <c r="AC972" s="109"/>
      <c r="AD972" s="109"/>
      <c r="AE972" s="109"/>
      <c r="AF972" s="109"/>
      <c r="AG972" s="109"/>
      <c r="AH972" s="109"/>
      <c r="AI972" s="109"/>
    </row>
    <row r="973">
      <c r="A973" s="112"/>
      <c r="B973" s="112"/>
      <c r="C973" s="112"/>
      <c r="D973" s="119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09"/>
      <c r="AB973" s="109"/>
      <c r="AC973" s="109"/>
      <c r="AD973" s="109"/>
      <c r="AE973" s="109"/>
      <c r="AF973" s="109"/>
      <c r="AG973" s="109"/>
      <c r="AH973" s="109"/>
      <c r="AI973" s="109"/>
    </row>
    <row r="974">
      <c r="A974" s="112"/>
      <c r="B974" s="112"/>
      <c r="C974" s="112"/>
      <c r="D974" s="119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09"/>
      <c r="AB974" s="109"/>
      <c r="AC974" s="109"/>
      <c r="AD974" s="109"/>
      <c r="AE974" s="109"/>
      <c r="AF974" s="109"/>
      <c r="AG974" s="109"/>
      <c r="AH974" s="109"/>
      <c r="AI974" s="109"/>
    </row>
    <row r="975">
      <c r="A975" s="112"/>
      <c r="B975" s="112"/>
      <c r="C975" s="112"/>
      <c r="D975" s="119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09"/>
      <c r="AB975" s="109"/>
      <c r="AC975" s="109"/>
      <c r="AD975" s="109"/>
      <c r="AE975" s="109"/>
      <c r="AF975" s="109"/>
      <c r="AG975" s="109"/>
      <c r="AH975" s="109"/>
      <c r="AI975" s="109"/>
    </row>
    <row r="976">
      <c r="A976" s="112"/>
      <c r="B976" s="112"/>
      <c r="C976" s="112"/>
      <c r="D976" s="119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09"/>
      <c r="AB976" s="109"/>
      <c r="AC976" s="109"/>
      <c r="AD976" s="109"/>
      <c r="AE976" s="109"/>
      <c r="AF976" s="109"/>
      <c r="AG976" s="109"/>
      <c r="AH976" s="109"/>
      <c r="AI976" s="109"/>
    </row>
    <row r="977">
      <c r="A977" s="112"/>
      <c r="B977" s="112"/>
      <c r="C977" s="112"/>
      <c r="D977" s="119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09"/>
      <c r="AB977" s="109"/>
      <c r="AC977" s="109"/>
      <c r="AD977" s="109"/>
      <c r="AE977" s="109"/>
      <c r="AF977" s="109"/>
      <c r="AG977" s="109"/>
      <c r="AH977" s="109"/>
      <c r="AI977" s="109"/>
    </row>
    <row r="978">
      <c r="A978" s="112"/>
      <c r="B978" s="112"/>
      <c r="C978" s="112"/>
      <c r="D978" s="119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09"/>
      <c r="AB978" s="109"/>
      <c r="AC978" s="109"/>
      <c r="AD978" s="109"/>
      <c r="AE978" s="109"/>
      <c r="AF978" s="109"/>
      <c r="AG978" s="109"/>
      <c r="AH978" s="109"/>
      <c r="AI978" s="109"/>
    </row>
    <row r="979">
      <c r="A979" s="112"/>
      <c r="B979" s="112"/>
      <c r="C979" s="112"/>
      <c r="D979" s="119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09"/>
      <c r="AB979" s="109"/>
      <c r="AC979" s="109"/>
      <c r="AD979" s="109"/>
      <c r="AE979" s="109"/>
      <c r="AF979" s="109"/>
      <c r="AG979" s="109"/>
      <c r="AH979" s="109"/>
      <c r="AI979" s="109"/>
    </row>
    <row r="980">
      <c r="A980" s="112"/>
      <c r="B980" s="112"/>
      <c r="C980" s="112"/>
      <c r="D980" s="119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  <c r="AA980" s="109"/>
      <c r="AB980" s="109"/>
      <c r="AC980" s="109"/>
      <c r="AD980" s="109"/>
      <c r="AE980" s="109"/>
      <c r="AF980" s="109"/>
      <c r="AG980" s="109"/>
      <c r="AH980" s="109"/>
      <c r="AI980" s="109"/>
    </row>
    <row r="981">
      <c r="A981" s="112"/>
      <c r="B981" s="112"/>
      <c r="C981" s="112"/>
      <c r="D981" s="119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09"/>
      <c r="AB981" s="109"/>
      <c r="AC981" s="109"/>
      <c r="AD981" s="109"/>
      <c r="AE981" s="109"/>
      <c r="AF981" s="109"/>
      <c r="AG981" s="109"/>
      <c r="AH981" s="109"/>
      <c r="AI981" s="109"/>
    </row>
    <row r="982">
      <c r="A982" s="112"/>
      <c r="B982" s="112"/>
      <c r="C982" s="112"/>
      <c r="D982" s="119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  <c r="AA982" s="109"/>
      <c r="AB982" s="109"/>
      <c r="AC982" s="109"/>
      <c r="AD982" s="109"/>
      <c r="AE982" s="109"/>
      <c r="AF982" s="109"/>
      <c r="AG982" s="109"/>
      <c r="AH982" s="109"/>
      <c r="AI982" s="109"/>
    </row>
    <row r="983">
      <c r="A983" s="112"/>
      <c r="B983" s="112"/>
      <c r="C983" s="112"/>
      <c r="D983" s="119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  <c r="AA983" s="109"/>
      <c r="AB983" s="109"/>
      <c r="AC983" s="109"/>
      <c r="AD983" s="109"/>
      <c r="AE983" s="109"/>
      <c r="AF983" s="109"/>
      <c r="AG983" s="109"/>
      <c r="AH983" s="109"/>
      <c r="AI983" s="109"/>
    </row>
    <row r="984">
      <c r="A984" s="112"/>
      <c r="B984" s="112"/>
      <c r="C984" s="112"/>
      <c r="D984" s="119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  <c r="AA984" s="109"/>
      <c r="AB984" s="109"/>
      <c r="AC984" s="109"/>
      <c r="AD984" s="109"/>
      <c r="AE984" s="109"/>
      <c r="AF984" s="109"/>
      <c r="AG984" s="109"/>
      <c r="AH984" s="109"/>
      <c r="AI984" s="109"/>
    </row>
    <row r="985">
      <c r="A985" s="112"/>
      <c r="B985" s="112"/>
      <c r="C985" s="112"/>
      <c r="D985" s="119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09"/>
      <c r="AB985" s="109"/>
      <c r="AC985" s="109"/>
      <c r="AD985" s="109"/>
      <c r="AE985" s="109"/>
      <c r="AF985" s="109"/>
      <c r="AG985" s="109"/>
      <c r="AH985" s="109"/>
      <c r="AI985" s="109"/>
    </row>
    <row r="986">
      <c r="A986" s="112"/>
      <c r="B986" s="112"/>
      <c r="C986" s="112"/>
      <c r="D986" s="119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09"/>
      <c r="AB986" s="109"/>
      <c r="AC986" s="109"/>
      <c r="AD986" s="109"/>
      <c r="AE986" s="109"/>
      <c r="AF986" s="109"/>
      <c r="AG986" s="109"/>
      <c r="AH986" s="109"/>
      <c r="AI986" s="109"/>
    </row>
    <row r="987">
      <c r="A987" s="112"/>
      <c r="B987" s="112"/>
      <c r="C987" s="112"/>
      <c r="D987" s="119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09"/>
      <c r="AB987" s="109"/>
      <c r="AC987" s="109"/>
      <c r="AD987" s="109"/>
      <c r="AE987" s="109"/>
      <c r="AF987" s="109"/>
      <c r="AG987" s="109"/>
      <c r="AH987" s="109"/>
      <c r="AI987" s="109"/>
    </row>
    <row r="988">
      <c r="A988" s="112"/>
      <c r="B988" s="112"/>
      <c r="C988" s="112"/>
      <c r="D988" s="119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09"/>
      <c r="AB988" s="109"/>
      <c r="AC988" s="109"/>
      <c r="AD988" s="109"/>
      <c r="AE988" s="109"/>
      <c r="AF988" s="109"/>
      <c r="AG988" s="109"/>
      <c r="AH988" s="109"/>
      <c r="AI988" s="109"/>
    </row>
    <row r="989">
      <c r="A989" s="112"/>
      <c r="B989" s="112"/>
      <c r="C989" s="112"/>
      <c r="D989" s="119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  <c r="AA989" s="109"/>
      <c r="AB989" s="109"/>
      <c r="AC989" s="109"/>
      <c r="AD989" s="109"/>
      <c r="AE989" s="109"/>
      <c r="AF989" s="109"/>
      <c r="AG989" s="109"/>
      <c r="AH989" s="109"/>
      <c r="AI989" s="109"/>
    </row>
    <row r="990">
      <c r="A990" s="112"/>
      <c r="B990" s="112"/>
      <c r="C990" s="112"/>
      <c r="D990" s="119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  <c r="AA990" s="109"/>
      <c r="AB990" s="109"/>
      <c r="AC990" s="109"/>
      <c r="AD990" s="109"/>
      <c r="AE990" s="109"/>
      <c r="AF990" s="109"/>
      <c r="AG990" s="109"/>
      <c r="AH990" s="109"/>
      <c r="AI990" s="109"/>
    </row>
    <row r="991">
      <c r="A991" s="112"/>
      <c r="B991" s="112"/>
      <c r="C991" s="112"/>
      <c r="D991" s="119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  <c r="AA991" s="109"/>
      <c r="AB991" s="109"/>
      <c r="AC991" s="109"/>
      <c r="AD991" s="109"/>
      <c r="AE991" s="109"/>
      <c r="AF991" s="109"/>
      <c r="AG991" s="109"/>
      <c r="AH991" s="109"/>
      <c r="AI991" s="109"/>
    </row>
    <row r="992">
      <c r="A992" s="112"/>
      <c r="B992" s="112"/>
      <c r="C992" s="112"/>
      <c r="D992" s="119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09"/>
      <c r="AB992" s="109"/>
      <c r="AC992" s="109"/>
      <c r="AD992" s="109"/>
      <c r="AE992" s="109"/>
      <c r="AF992" s="109"/>
      <c r="AG992" s="109"/>
      <c r="AH992" s="109"/>
      <c r="AI992" s="109"/>
    </row>
    <row r="993">
      <c r="A993" s="112"/>
      <c r="B993" s="112"/>
      <c r="C993" s="112"/>
      <c r="D993" s="119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09"/>
      <c r="AB993" s="109"/>
      <c r="AC993" s="109"/>
      <c r="AD993" s="109"/>
      <c r="AE993" s="109"/>
      <c r="AF993" s="109"/>
      <c r="AG993" s="109"/>
      <c r="AH993" s="109"/>
      <c r="AI993" s="109"/>
    </row>
    <row r="994">
      <c r="A994" s="112"/>
      <c r="B994" s="112"/>
      <c r="C994" s="112"/>
      <c r="D994" s="119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09"/>
      <c r="AB994" s="109"/>
      <c r="AC994" s="109"/>
      <c r="AD994" s="109"/>
      <c r="AE994" s="109"/>
      <c r="AF994" s="109"/>
      <c r="AG994" s="109"/>
      <c r="AH994" s="109"/>
      <c r="AI994" s="109"/>
    </row>
    <row r="995">
      <c r="A995" s="112"/>
      <c r="B995" s="112"/>
      <c r="C995" s="112"/>
      <c r="D995" s="119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09"/>
      <c r="AB995" s="109"/>
      <c r="AC995" s="109"/>
      <c r="AD995" s="109"/>
      <c r="AE995" s="109"/>
      <c r="AF995" s="109"/>
      <c r="AG995" s="109"/>
      <c r="AH995" s="109"/>
      <c r="AI995" s="109"/>
    </row>
    <row r="996">
      <c r="A996" s="112"/>
      <c r="B996" s="112"/>
      <c r="C996" s="112"/>
      <c r="D996" s="119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09"/>
      <c r="AB996" s="109"/>
      <c r="AC996" s="109"/>
      <c r="AD996" s="109"/>
      <c r="AE996" s="109"/>
      <c r="AF996" s="109"/>
      <c r="AG996" s="109"/>
      <c r="AH996" s="109"/>
      <c r="AI996" s="109"/>
    </row>
    <row r="997">
      <c r="A997" s="112"/>
      <c r="B997" s="112"/>
      <c r="C997" s="112"/>
      <c r="D997" s="119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09"/>
      <c r="AB997" s="109"/>
      <c r="AC997" s="109"/>
      <c r="AD997" s="109"/>
      <c r="AE997" s="109"/>
      <c r="AF997" s="109"/>
      <c r="AG997" s="109"/>
      <c r="AH997" s="109"/>
      <c r="AI997" s="109"/>
    </row>
  </sheetData>
  <hyperlinks>
    <hyperlink r:id="rId1" ref="D2"/>
    <hyperlink r:id="rId2" ref="F2"/>
    <hyperlink r:id="rId3" ref="D3"/>
    <hyperlink r:id="rId4" ref="D4"/>
    <hyperlink r:id="rId5" ref="D5"/>
    <hyperlink r:id="rId6" ref="F5"/>
    <hyperlink r:id="rId7" ref="D6"/>
    <hyperlink r:id="rId8" ref="F6"/>
    <hyperlink r:id="rId9" ref="D7"/>
    <hyperlink r:id="rId10" ref="F7"/>
    <hyperlink r:id="rId11" ref="D8"/>
    <hyperlink r:id="rId12" ref="F8"/>
    <hyperlink r:id="rId13" ref="D9"/>
    <hyperlink r:id="rId14" ref="F9"/>
    <hyperlink r:id="rId15" ref="D10"/>
    <hyperlink r:id="rId16" ref="F10"/>
    <hyperlink r:id="rId17" ref="D11"/>
    <hyperlink r:id="rId18" ref="F11"/>
    <hyperlink r:id="rId19" ref="D12"/>
    <hyperlink r:id="rId20" ref="D13"/>
    <hyperlink r:id="rId21" ref="F13"/>
    <hyperlink r:id="rId22" ref="D14"/>
    <hyperlink r:id="rId23" ref="D15"/>
    <hyperlink r:id="rId24" ref="D16"/>
    <hyperlink r:id="rId25" ref="D17"/>
    <hyperlink r:id="rId26" ref="D18"/>
    <hyperlink r:id="rId27" ref="D19"/>
    <hyperlink r:id="rId28" ref="D20"/>
    <hyperlink r:id="rId29" ref="D21"/>
    <hyperlink r:id="rId30" ref="D23"/>
  </hyperlinks>
  <drawing r:id="rId3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11.29"/>
    <col customWidth="1" min="3" max="3" width="13.14"/>
    <col customWidth="1" min="4" max="4" width="53.29"/>
    <col customWidth="1" min="5" max="5" width="13.43"/>
    <col customWidth="1" min="6" max="6" width="30.43"/>
    <col customWidth="1" min="7" max="7" width="18.0"/>
    <col customWidth="1" min="8" max="8" width="22.71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3" width="13.0"/>
    <col customWidth="1" min="24" max="24" width="14.71"/>
    <col customWidth="1" min="25" max="25" width="89.29"/>
    <col customWidth="1" min="26" max="26" width="18.86"/>
  </cols>
  <sheetData>
    <row r="1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25</v>
      </c>
      <c r="G1" s="80" t="s">
        <v>6</v>
      </c>
      <c r="H1" s="80" t="s">
        <v>7</v>
      </c>
      <c r="I1" s="80" t="s">
        <v>8</v>
      </c>
      <c r="J1" s="80" t="s">
        <v>9</v>
      </c>
      <c r="K1" s="9" t="s">
        <v>10</v>
      </c>
      <c r="L1" s="8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83" t="s">
        <v>19</v>
      </c>
      <c r="U1" s="120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9" t="s">
        <v>26</v>
      </c>
      <c r="AA1" s="5"/>
      <c r="AB1" s="5"/>
      <c r="AC1" s="5"/>
      <c r="AD1" s="5"/>
      <c r="AE1" s="5"/>
      <c r="AF1" s="5"/>
      <c r="AG1" s="5"/>
      <c r="AH1" s="5"/>
      <c r="AI1" s="5"/>
      <c r="AJ1" s="5"/>
    </row>
    <row r="2">
      <c r="A2" s="32" t="s">
        <v>510</v>
      </c>
      <c r="B2" s="32" t="s">
        <v>511</v>
      </c>
      <c r="C2" s="32" t="s">
        <v>512</v>
      </c>
      <c r="D2" s="87" t="s">
        <v>3419</v>
      </c>
      <c r="E2" s="94">
        <v>7461060.0</v>
      </c>
      <c r="F2" s="32" t="s">
        <v>514</v>
      </c>
      <c r="G2" s="32" t="s">
        <v>515</v>
      </c>
      <c r="H2" s="32" t="s">
        <v>516</v>
      </c>
      <c r="I2" s="32">
        <v>100.0</v>
      </c>
      <c r="J2" s="32" t="s">
        <v>34</v>
      </c>
      <c r="K2" s="32" t="s">
        <v>35</v>
      </c>
      <c r="L2" s="32">
        <v>50.0</v>
      </c>
      <c r="M2" s="32" t="s">
        <v>517</v>
      </c>
      <c r="N2" s="32" t="s">
        <v>37</v>
      </c>
      <c r="O2" s="32" t="s">
        <v>37</v>
      </c>
      <c r="P2" s="32" t="s">
        <v>37</v>
      </c>
      <c r="Q2" s="32"/>
      <c r="R2" s="32" t="s">
        <v>38</v>
      </c>
      <c r="S2" s="32" t="s">
        <v>518</v>
      </c>
      <c r="T2" s="32"/>
      <c r="U2" s="32" t="s">
        <v>38</v>
      </c>
      <c r="V2" s="32" t="s">
        <v>34</v>
      </c>
      <c r="W2" s="32" t="s">
        <v>34</v>
      </c>
      <c r="X2" s="32" t="s">
        <v>519</v>
      </c>
      <c r="Y2" s="32" t="s">
        <v>77</v>
      </c>
      <c r="Z2" s="20"/>
      <c r="AA2" s="5"/>
      <c r="AB2" s="5"/>
      <c r="AC2" s="5"/>
      <c r="AD2" s="5"/>
      <c r="AE2" s="5"/>
      <c r="AF2" s="5"/>
      <c r="AG2" s="5"/>
      <c r="AH2" s="5"/>
      <c r="AI2" s="5"/>
      <c r="AJ2" s="5"/>
    </row>
    <row r="3">
      <c r="A3" s="32" t="s">
        <v>520</v>
      </c>
      <c r="B3" s="32" t="s">
        <v>511</v>
      </c>
      <c r="C3" s="32" t="s">
        <v>512</v>
      </c>
      <c r="D3" s="121" t="s">
        <v>521</v>
      </c>
      <c r="E3" s="95" t="s">
        <v>522</v>
      </c>
      <c r="F3" s="95" t="s">
        <v>523</v>
      </c>
      <c r="G3" s="32" t="s">
        <v>524</v>
      </c>
      <c r="H3" s="32" t="s">
        <v>525</v>
      </c>
      <c r="I3" s="32">
        <v>400.0</v>
      </c>
      <c r="J3" s="32" t="s">
        <v>34</v>
      </c>
      <c r="K3" s="32" t="s">
        <v>35</v>
      </c>
      <c r="L3" s="32">
        <v>300.0</v>
      </c>
      <c r="M3" s="32" t="s">
        <v>526</v>
      </c>
      <c r="N3" s="32" t="s">
        <v>37</v>
      </c>
      <c r="O3" s="32" t="s">
        <v>527</v>
      </c>
      <c r="P3" s="32" t="s">
        <v>37</v>
      </c>
      <c r="Q3" s="32"/>
      <c r="R3" s="32" t="s">
        <v>38</v>
      </c>
      <c r="S3" s="32" t="s">
        <v>518</v>
      </c>
      <c r="T3" s="32"/>
      <c r="U3" s="32" t="s">
        <v>34</v>
      </c>
      <c r="V3" s="32" t="s">
        <v>34</v>
      </c>
      <c r="W3" s="32" t="s">
        <v>34</v>
      </c>
      <c r="X3" s="32" t="s">
        <v>528</v>
      </c>
      <c r="Y3" s="32" t="s">
        <v>77</v>
      </c>
      <c r="Z3" s="20"/>
      <c r="AA3" s="5"/>
      <c r="AB3" s="5"/>
      <c r="AC3" s="5"/>
      <c r="AD3" s="5"/>
      <c r="AE3" s="5"/>
      <c r="AF3" s="5"/>
      <c r="AG3" s="5"/>
      <c r="AH3" s="5"/>
      <c r="AI3" s="5"/>
      <c r="AJ3" s="5"/>
    </row>
    <row r="4">
      <c r="A4" s="32" t="s">
        <v>529</v>
      </c>
      <c r="B4" s="32" t="s">
        <v>511</v>
      </c>
      <c r="C4" s="32" t="s">
        <v>512</v>
      </c>
      <c r="D4" s="121" t="s">
        <v>530</v>
      </c>
      <c r="E4" s="32">
        <v>5.6775977E7</v>
      </c>
      <c r="F4" s="32" t="s">
        <v>531</v>
      </c>
      <c r="G4" s="32" t="s">
        <v>532</v>
      </c>
      <c r="H4" s="32" t="s">
        <v>533</v>
      </c>
      <c r="I4" s="32" t="s">
        <v>534</v>
      </c>
      <c r="J4" s="32" t="s">
        <v>34</v>
      </c>
      <c r="K4" s="32" t="s">
        <v>35</v>
      </c>
      <c r="L4" s="32"/>
      <c r="M4" s="32" t="s">
        <v>535</v>
      </c>
      <c r="N4" s="32" t="s">
        <v>37</v>
      </c>
      <c r="O4" s="32" t="s">
        <v>527</v>
      </c>
      <c r="P4" s="32" t="s">
        <v>37</v>
      </c>
      <c r="Q4" s="32"/>
      <c r="R4" s="32" t="s">
        <v>38</v>
      </c>
      <c r="S4" s="32" t="s">
        <v>518</v>
      </c>
      <c r="T4" s="32" t="s">
        <v>536</v>
      </c>
      <c r="U4" s="32" t="s">
        <v>34</v>
      </c>
      <c r="V4" s="32" t="s">
        <v>34</v>
      </c>
      <c r="W4" s="32" t="s">
        <v>34</v>
      </c>
      <c r="X4" s="32" t="s">
        <v>537</v>
      </c>
      <c r="Y4" s="32" t="s">
        <v>538</v>
      </c>
      <c r="Z4" s="20">
        <v>50.0</v>
      </c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32" t="s">
        <v>539</v>
      </c>
      <c r="B5" s="32" t="s">
        <v>511</v>
      </c>
      <c r="C5" s="32" t="s">
        <v>512</v>
      </c>
      <c r="D5" s="87" t="s">
        <v>540</v>
      </c>
      <c r="E5" s="32">
        <v>7440100.0</v>
      </c>
      <c r="F5" s="95" t="s">
        <v>523</v>
      </c>
      <c r="G5" s="32" t="s">
        <v>524</v>
      </c>
      <c r="H5" s="32" t="s">
        <v>541</v>
      </c>
      <c r="I5" s="32" t="s">
        <v>542</v>
      </c>
      <c r="J5" s="32" t="s">
        <v>34</v>
      </c>
      <c r="K5" s="32" t="s">
        <v>543</v>
      </c>
      <c r="L5" s="32">
        <v>672.0</v>
      </c>
      <c r="M5" s="95" t="s">
        <v>544</v>
      </c>
      <c r="N5" s="32" t="s">
        <v>37</v>
      </c>
      <c r="O5" s="32" t="s">
        <v>527</v>
      </c>
      <c r="P5" s="32" t="s">
        <v>37</v>
      </c>
      <c r="Q5" s="32"/>
      <c r="R5" s="32" t="s">
        <v>34</v>
      </c>
      <c r="S5" s="32" t="s">
        <v>545</v>
      </c>
      <c r="T5" s="32"/>
      <c r="U5" s="32" t="s">
        <v>34</v>
      </c>
      <c r="V5" s="32" t="s">
        <v>34</v>
      </c>
      <c r="W5" s="32" t="s">
        <v>34</v>
      </c>
      <c r="X5" s="32" t="s">
        <v>546</v>
      </c>
      <c r="Y5" s="32" t="s">
        <v>538</v>
      </c>
      <c r="Z5" s="20" t="s">
        <v>3420</v>
      </c>
      <c r="AA5" s="5"/>
      <c r="AB5" s="5"/>
      <c r="AC5" s="5"/>
      <c r="AD5" s="5"/>
      <c r="AE5" s="5"/>
      <c r="AF5" s="5"/>
      <c r="AG5" s="5"/>
      <c r="AH5" s="5"/>
      <c r="AI5" s="5"/>
      <c r="AJ5" s="5"/>
    </row>
    <row r="6">
      <c r="A6" s="32" t="s">
        <v>547</v>
      </c>
      <c r="B6" s="32" t="s">
        <v>511</v>
      </c>
      <c r="C6" s="32" t="s">
        <v>512</v>
      </c>
      <c r="D6" s="121" t="s">
        <v>548</v>
      </c>
      <c r="E6" s="32">
        <v>5.3986153E7</v>
      </c>
      <c r="F6" s="32" t="s">
        <v>549</v>
      </c>
      <c r="G6" s="32" t="s">
        <v>550</v>
      </c>
      <c r="H6" s="32" t="s">
        <v>551</v>
      </c>
      <c r="I6" s="32">
        <v>200.0</v>
      </c>
      <c r="J6" s="32" t="s">
        <v>34</v>
      </c>
      <c r="K6" s="32" t="s">
        <v>35</v>
      </c>
      <c r="L6" s="32">
        <v>130.0</v>
      </c>
      <c r="M6" s="32" t="s">
        <v>552</v>
      </c>
      <c r="N6" s="32" t="s">
        <v>37</v>
      </c>
      <c r="O6" s="32" t="s">
        <v>527</v>
      </c>
      <c r="P6" s="32" t="s">
        <v>37</v>
      </c>
      <c r="Q6" s="32"/>
      <c r="R6" s="32" t="s">
        <v>38</v>
      </c>
      <c r="S6" s="32" t="s">
        <v>518</v>
      </c>
      <c r="T6" s="32"/>
      <c r="U6" s="32" t="s">
        <v>34</v>
      </c>
      <c r="V6" s="32" t="s">
        <v>34</v>
      </c>
      <c r="W6" s="32" t="s">
        <v>34</v>
      </c>
      <c r="X6" s="32" t="s">
        <v>519</v>
      </c>
      <c r="Y6" s="32" t="s">
        <v>77</v>
      </c>
      <c r="Z6" s="20">
        <v>50.0</v>
      </c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32" t="s">
        <v>553</v>
      </c>
      <c r="B7" s="32" t="s">
        <v>511</v>
      </c>
      <c r="C7" s="32" t="s">
        <v>512</v>
      </c>
      <c r="D7" s="121" t="s">
        <v>554</v>
      </c>
      <c r="E7" s="32">
        <v>7440170.0</v>
      </c>
      <c r="F7" s="32" t="s">
        <v>523</v>
      </c>
      <c r="G7" s="32" t="s">
        <v>524</v>
      </c>
      <c r="H7" s="32" t="s">
        <v>555</v>
      </c>
      <c r="I7" s="32" t="s">
        <v>556</v>
      </c>
      <c r="J7" s="32" t="s">
        <v>34</v>
      </c>
      <c r="K7" s="32" t="s">
        <v>35</v>
      </c>
      <c r="L7" s="32">
        <v>446.0</v>
      </c>
      <c r="M7" s="95" t="s">
        <v>557</v>
      </c>
      <c r="N7" s="32" t="s">
        <v>37</v>
      </c>
      <c r="O7" s="32" t="s">
        <v>527</v>
      </c>
      <c r="P7" s="32" t="s">
        <v>37</v>
      </c>
      <c r="Q7" s="32"/>
      <c r="R7" s="32" t="s">
        <v>38</v>
      </c>
      <c r="S7" s="32" t="s">
        <v>518</v>
      </c>
      <c r="T7" s="32"/>
      <c r="U7" s="32" t="s">
        <v>34</v>
      </c>
      <c r="V7" s="32" t="s">
        <v>34</v>
      </c>
      <c r="W7" s="32" t="s">
        <v>34</v>
      </c>
      <c r="X7" s="32" t="s">
        <v>519</v>
      </c>
      <c r="Y7" s="32" t="s">
        <v>77</v>
      </c>
      <c r="Z7" s="20">
        <v>50.0</v>
      </c>
      <c r="AA7" s="5"/>
      <c r="AB7" s="5"/>
      <c r="AC7" s="5"/>
      <c r="AD7" s="5"/>
      <c r="AE7" s="5"/>
      <c r="AF7" s="5"/>
      <c r="AG7" s="5"/>
      <c r="AH7" s="5"/>
      <c r="AI7" s="5"/>
      <c r="AJ7" s="5"/>
    </row>
    <row r="8">
      <c r="A8" s="32" t="s">
        <v>558</v>
      </c>
      <c r="B8" s="32" t="s">
        <v>511</v>
      </c>
      <c r="C8" s="32" t="s">
        <v>400</v>
      </c>
      <c r="D8" s="121" t="s">
        <v>559</v>
      </c>
      <c r="E8" s="32">
        <v>7423705.0</v>
      </c>
      <c r="F8" s="32" t="s">
        <v>560</v>
      </c>
      <c r="G8" s="32" t="s">
        <v>561</v>
      </c>
      <c r="H8" s="32" t="s">
        <v>562</v>
      </c>
      <c r="I8" s="32" t="s">
        <v>534</v>
      </c>
      <c r="J8" s="32" t="s">
        <v>34</v>
      </c>
      <c r="K8" s="32" t="s">
        <v>35</v>
      </c>
      <c r="L8" s="32">
        <v>230.0</v>
      </c>
      <c r="M8" s="32" t="s">
        <v>563</v>
      </c>
      <c r="N8" s="32" t="s">
        <v>37</v>
      </c>
      <c r="O8" s="32" t="s">
        <v>527</v>
      </c>
      <c r="P8" s="32" t="s">
        <v>37</v>
      </c>
      <c r="Q8" s="32"/>
      <c r="R8" s="32" t="s">
        <v>34</v>
      </c>
      <c r="S8" s="32" t="s">
        <v>518</v>
      </c>
      <c r="T8" s="32"/>
      <c r="U8" s="32" t="s">
        <v>34</v>
      </c>
      <c r="V8" s="32" t="s">
        <v>34</v>
      </c>
      <c r="W8" s="32" t="s">
        <v>34</v>
      </c>
      <c r="X8" s="32" t="s">
        <v>519</v>
      </c>
      <c r="Y8" s="32" t="s">
        <v>77</v>
      </c>
      <c r="Z8" s="20">
        <v>70.0</v>
      </c>
      <c r="AA8" s="5"/>
      <c r="AB8" s="5"/>
      <c r="AC8" s="5"/>
      <c r="AD8" s="5"/>
      <c r="AE8" s="5"/>
      <c r="AF8" s="5"/>
      <c r="AG8" s="5"/>
      <c r="AH8" s="5"/>
      <c r="AI8" s="5"/>
      <c r="AJ8" s="5"/>
    </row>
    <row r="9">
      <c r="A9" s="32" t="s">
        <v>564</v>
      </c>
      <c r="B9" s="32" t="s">
        <v>511</v>
      </c>
      <c r="C9" s="32" t="s">
        <v>400</v>
      </c>
      <c r="D9" s="121" t="s">
        <v>565</v>
      </c>
      <c r="E9" s="32">
        <v>7.4061709E7</v>
      </c>
      <c r="F9" s="32" t="s">
        <v>566</v>
      </c>
      <c r="G9" s="32" t="s">
        <v>567</v>
      </c>
      <c r="H9" s="32" t="s">
        <v>568</v>
      </c>
      <c r="I9" s="32" t="s">
        <v>569</v>
      </c>
      <c r="J9" s="32" t="s">
        <v>34</v>
      </c>
      <c r="K9" s="32" t="s">
        <v>543</v>
      </c>
      <c r="L9" s="32">
        <v>100.0</v>
      </c>
      <c r="M9" s="32"/>
      <c r="N9" s="32" t="s">
        <v>37</v>
      </c>
      <c r="O9" s="88" t="s">
        <v>74</v>
      </c>
      <c r="P9" s="32" t="s">
        <v>37</v>
      </c>
      <c r="Q9" s="32"/>
      <c r="R9" s="32" t="s">
        <v>38</v>
      </c>
      <c r="S9" s="32" t="s">
        <v>518</v>
      </c>
      <c r="T9" s="32"/>
      <c r="U9" s="32" t="s">
        <v>38</v>
      </c>
      <c r="V9" s="32" t="s">
        <v>34</v>
      </c>
      <c r="W9" s="32" t="s">
        <v>34</v>
      </c>
      <c r="X9" s="32" t="s">
        <v>519</v>
      </c>
      <c r="Y9" s="32" t="s">
        <v>77</v>
      </c>
      <c r="Z9" s="20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>
      <c r="A10" s="32" t="s">
        <v>570</v>
      </c>
      <c r="B10" s="32" t="s">
        <v>511</v>
      </c>
      <c r="C10" s="32" t="s">
        <v>90</v>
      </c>
      <c r="D10" s="121" t="s">
        <v>571</v>
      </c>
      <c r="E10" s="32">
        <v>7361545.0</v>
      </c>
      <c r="F10" s="32" t="s">
        <v>572</v>
      </c>
      <c r="G10" s="32" t="s">
        <v>573</v>
      </c>
      <c r="H10" s="32" t="s">
        <v>574</v>
      </c>
      <c r="I10" s="32">
        <v>30.0</v>
      </c>
      <c r="J10" s="32" t="s">
        <v>34</v>
      </c>
      <c r="K10" s="32" t="s">
        <v>35</v>
      </c>
      <c r="L10" s="32">
        <v>15.0</v>
      </c>
      <c r="M10" s="32"/>
      <c r="N10" s="88" t="s">
        <v>74</v>
      </c>
      <c r="O10" s="88" t="s">
        <v>74</v>
      </c>
      <c r="P10" s="32" t="s">
        <v>37</v>
      </c>
      <c r="Q10" s="32" t="s">
        <v>575</v>
      </c>
      <c r="R10" s="32" t="s">
        <v>38</v>
      </c>
      <c r="S10" s="32" t="s">
        <v>38</v>
      </c>
      <c r="T10" s="32"/>
      <c r="U10" s="32" t="s">
        <v>38</v>
      </c>
      <c r="V10" s="32" t="s">
        <v>34</v>
      </c>
      <c r="W10" s="32" t="s">
        <v>34</v>
      </c>
      <c r="X10" s="32" t="s">
        <v>519</v>
      </c>
      <c r="Y10" s="32" t="s">
        <v>576</v>
      </c>
      <c r="Z10" s="20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>
      <c r="A11" s="32" t="s">
        <v>577</v>
      </c>
      <c r="B11" s="32" t="s">
        <v>511</v>
      </c>
      <c r="C11" s="32" t="s">
        <v>90</v>
      </c>
      <c r="D11" s="87" t="s">
        <v>578</v>
      </c>
      <c r="E11" s="122" t="s">
        <v>579</v>
      </c>
      <c r="F11" s="32" t="s">
        <v>580</v>
      </c>
      <c r="G11" s="32" t="s">
        <v>581</v>
      </c>
      <c r="H11" s="32" t="s">
        <v>582</v>
      </c>
      <c r="I11" s="32"/>
      <c r="J11" s="32" t="s">
        <v>38</v>
      </c>
      <c r="K11" s="32"/>
      <c r="L11" s="32"/>
      <c r="M11" s="32"/>
      <c r="N11" s="32"/>
      <c r="O11" s="32"/>
      <c r="P11" s="32"/>
      <c r="Q11" s="32"/>
      <c r="R11" s="32" t="s">
        <v>38</v>
      </c>
      <c r="S11" s="32" t="s">
        <v>518</v>
      </c>
      <c r="T11" s="32"/>
      <c r="U11" s="32" t="s">
        <v>38</v>
      </c>
      <c r="V11" s="32" t="s">
        <v>34</v>
      </c>
      <c r="W11" s="32" t="s">
        <v>34</v>
      </c>
      <c r="X11" s="32" t="s">
        <v>583</v>
      </c>
      <c r="Y11" s="32" t="s">
        <v>77</v>
      </c>
      <c r="Z11" s="20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>
      <c r="A12" s="32" t="s">
        <v>584</v>
      </c>
      <c r="B12" s="32" t="s">
        <v>511</v>
      </c>
      <c r="C12" s="32" t="s">
        <v>585</v>
      </c>
      <c r="D12" s="121" t="s">
        <v>586</v>
      </c>
      <c r="E12" s="32">
        <v>7355095.0</v>
      </c>
      <c r="F12" s="32" t="s">
        <v>587</v>
      </c>
      <c r="G12" s="32" t="s">
        <v>588</v>
      </c>
      <c r="H12" s="32" t="s">
        <v>589</v>
      </c>
      <c r="I12" s="32" t="s">
        <v>542</v>
      </c>
      <c r="J12" s="32" t="s">
        <v>34</v>
      </c>
      <c r="K12" s="32" t="s">
        <v>35</v>
      </c>
      <c r="L12" s="32">
        <v>700.0</v>
      </c>
      <c r="M12" s="32"/>
      <c r="N12" s="32" t="s">
        <v>37</v>
      </c>
      <c r="O12" s="32" t="s">
        <v>590</v>
      </c>
      <c r="P12" s="32" t="s">
        <v>37</v>
      </c>
      <c r="Q12" s="32"/>
      <c r="R12" s="32" t="s">
        <v>34</v>
      </c>
      <c r="S12" s="32" t="s">
        <v>518</v>
      </c>
      <c r="T12" s="32"/>
      <c r="U12" s="32" t="s">
        <v>34</v>
      </c>
      <c r="V12" s="32" t="s">
        <v>34</v>
      </c>
      <c r="W12" s="32" t="s">
        <v>34</v>
      </c>
      <c r="X12" s="32" t="s">
        <v>591</v>
      </c>
      <c r="Y12" s="32" t="s">
        <v>77</v>
      </c>
      <c r="Z12" s="20">
        <v>150.0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A13" s="32" t="s">
        <v>592</v>
      </c>
      <c r="B13" s="32" t="s">
        <v>511</v>
      </c>
      <c r="C13" s="32" t="s">
        <v>3421</v>
      </c>
      <c r="D13" s="87" t="s">
        <v>593</v>
      </c>
      <c r="E13" s="32">
        <v>7376932.0</v>
      </c>
      <c r="F13" s="32" t="s">
        <v>594</v>
      </c>
      <c r="G13" s="32" t="s">
        <v>595</v>
      </c>
      <c r="H13" s="32" t="s">
        <v>596</v>
      </c>
      <c r="I13" s="32" t="s">
        <v>597</v>
      </c>
      <c r="J13" s="32" t="s">
        <v>34</v>
      </c>
      <c r="K13" s="32" t="s">
        <v>35</v>
      </c>
      <c r="L13" s="32">
        <v>50.0</v>
      </c>
      <c r="M13" s="32"/>
      <c r="N13" s="32" t="s">
        <v>37</v>
      </c>
      <c r="O13" s="88" t="s">
        <v>74</v>
      </c>
      <c r="P13" s="32" t="s">
        <v>37</v>
      </c>
      <c r="Q13" s="32"/>
      <c r="R13" s="32" t="s">
        <v>34</v>
      </c>
      <c r="S13" s="32" t="s">
        <v>518</v>
      </c>
      <c r="T13" s="32"/>
      <c r="U13" s="32" t="s">
        <v>34</v>
      </c>
      <c r="V13" s="32" t="s">
        <v>34</v>
      </c>
      <c r="W13" s="32" t="s">
        <v>413</v>
      </c>
      <c r="X13" s="32" t="s">
        <v>591</v>
      </c>
      <c r="Y13" s="32" t="s">
        <v>598</v>
      </c>
      <c r="Z13" s="20">
        <v>15.0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s="32" t="s">
        <v>599</v>
      </c>
      <c r="B14" s="32" t="s">
        <v>511</v>
      </c>
      <c r="C14" s="32" t="s">
        <v>3421</v>
      </c>
      <c r="D14" s="87" t="s">
        <v>600</v>
      </c>
      <c r="E14" s="32">
        <v>7383013.0</v>
      </c>
      <c r="F14" s="32" t="s">
        <v>601</v>
      </c>
      <c r="G14" s="32" t="s">
        <v>602</v>
      </c>
      <c r="H14" s="32" t="s">
        <v>603</v>
      </c>
      <c r="I14" s="32">
        <v>30.0</v>
      </c>
      <c r="J14" s="32" t="s">
        <v>34</v>
      </c>
      <c r="K14" s="32" t="s">
        <v>35</v>
      </c>
      <c r="L14" s="32">
        <v>15.0</v>
      </c>
      <c r="M14" s="32"/>
      <c r="N14" s="88" t="s">
        <v>74</v>
      </c>
      <c r="O14" s="88" t="s">
        <v>74</v>
      </c>
      <c r="P14" s="32" t="s">
        <v>604</v>
      </c>
      <c r="Q14" s="32"/>
      <c r="R14" s="32" t="s">
        <v>38</v>
      </c>
      <c r="S14" s="32" t="s">
        <v>518</v>
      </c>
      <c r="T14" s="32"/>
      <c r="U14" s="32" t="s">
        <v>38</v>
      </c>
      <c r="V14" s="32" t="s">
        <v>34</v>
      </c>
      <c r="W14" s="32" t="s">
        <v>34</v>
      </c>
      <c r="X14" s="32" t="s">
        <v>591</v>
      </c>
      <c r="Y14" s="32" t="s">
        <v>605</v>
      </c>
      <c r="Z14" s="20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>
      <c r="A15" s="32" t="s">
        <v>606</v>
      </c>
      <c r="B15" s="32" t="s">
        <v>511</v>
      </c>
      <c r="C15" s="32" t="s">
        <v>3421</v>
      </c>
      <c r="D15" s="121" t="s">
        <v>607</v>
      </c>
      <c r="E15" s="32">
        <v>7377700.0</v>
      </c>
      <c r="F15" s="32" t="s">
        <v>608</v>
      </c>
      <c r="G15" s="32" t="s">
        <v>609</v>
      </c>
      <c r="H15" s="32" t="s">
        <v>610</v>
      </c>
      <c r="I15" s="32" t="s">
        <v>611</v>
      </c>
      <c r="J15" s="32" t="s">
        <v>34</v>
      </c>
      <c r="K15" s="32" t="s">
        <v>543</v>
      </c>
      <c r="L15" s="32">
        <v>100.0</v>
      </c>
      <c r="M15" s="32" t="s">
        <v>612</v>
      </c>
      <c r="N15" s="32" t="s">
        <v>37</v>
      </c>
      <c r="O15" s="88" t="s">
        <v>74</v>
      </c>
      <c r="P15" s="32" t="s">
        <v>37</v>
      </c>
      <c r="Q15" s="32"/>
      <c r="R15" s="32" t="s">
        <v>34</v>
      </c>
      <c r="S15" s="32" t="s">
        <v>518</v>
      </c>
      <c r="T15" s="32"/>
      <c r="U15" s="32" t="s">
        <v>38</v>
      </c>
      <c r="V15" s="32" t="s">
        <v>34</v>
      </c>
      <c r="W15" s="32" t="s">
        <v>34</v>
      </c>
      <c r="X15" s="32" t="s">
        <v>613</v>
      </c>
      <c r="Y15" s="32" t="s">
        <v>77</v>
      </c>
      <c r="Z15" s="20">
        <v>14.0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>
      <c r="A16" s="32" t="s">
        <v>614</v>
      </c>
      <c r="B16" s="32" t="s">
        <v>511</v>
      </c>
      <c r="C16" s="32" t="s">
        <v>3421</v>
      </c>
      <c r="D16" s="32"/>
      <c r="E16" s="32"/>
      <c r="F16" s="32" t="s">
        <v>615</v>
      </c>
      <c r="G16" s="32" t="s">
        <v>616</v>
      </c>
      <c r="H16" s="32" t="s">
        <v>617</v>
      </c>
      <c r="I16" s="32" t="s">
        <v>618</v>
      </c>
      <c r="J16" s="32"/>
      <c r="K16" s="32"/>
      <c r="L16" s="32"/>
      <c r="M16" s="32"/>
      <c r="N16" s="88" t="s">
        <v>74</v>
      </c>
      <c r="O16" s="88" t="s">
        <v>74</v>
      </c>
      <c r="P16" s="88" t="s">
        <v>74</v>
      </c>
      <c r="Q16" s="32"/>
      <c r="R16" s="32" t="s">
        <v>38</v>
      </c>
      <c r="S16" s="32" t="s">
        <v>518</v>
      </c>
      <c r="T16" s="32"/>
      <c r="U16" s="32" t="s">
        <v>38</v>
      </c>
      <c r="V16" s="32" t="s">
        <v>34</v>
      </c>
      <c r="W16" s="32" t="s">
        <v>34</v>
      </c>
      <c r="X16" s="32" t="s">
        <v>583</v>
      </c>
      <c r="Y16" s="32" t="s">
        <v>77</v>
      </c>
      <c r="Z16" s="20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>
      <c r="A17" s="32" t="s">
        <v>619</v>
      </c>
      <c r="B17" s="32" t="s">
        <v>511</v>
      </c>
      <c r="C17" s="32" t="s">
        <v>3421</v>
      </c>
      <c r="D17" s="87" t="s">
        <v>3422</v>
      </c>
      <c r="E17" s="32">
        <v>7363079.0</v>
      </c>
      <c r="F17" s="32" t="s">
        <v>621</v>
      </c>
      <c r="G17" s="32" t="s">
        <v>622</v>
      </c>
      <c r="H17" s="32" t="s">
        <v>623</v>
      </c>
      <c r="I17" s="32" t="s">
        <v>624</v>
      </c>
      <c r="J17" s="32" t="s">
        <v>34</v>
      </c>
      <c r="K17" s="32" t="s">
        <v>35</v>
      </c>
      <c r="L17" s="32">
        <v>600.0</v>
      </c>
      <c r="M17" s="32"/>
      <c r="N17" s="32" t="s">
        <v>37</v>
      </c>
      <c r="O17" s="32" t="s">
        <v>37</v>
      </c>
      <c r="P17" s="32" t="s">
        <v>37</v>
      </c>
      <c r="Q17" s="32" t="s">
        <v>625</v>
      </c>
      <c r="R17" s="32" t="s">
        <v>34</v>
      </c>
      <c r="S17" s="32" t="s">
        <v>545</v>
      </c>
      <c r="T17" s="32"/>
      <c r="U17" s="32" t="s">
        <v>34</v>
      </c>
      <c r="V17" s="32" t="s">
        <v>34</v>
      </c>
      <c r="W17" s="32" t="s">
        <v>34</v>
      </c>
      <c r="X17" s="32" t="s">
        <v>546</v>
      </c>
      <c r="Y17" s="32" t="s">
        <v>626</v>
      </c>
      <c r="Z17" s="20">
        <v>250.0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>
      <c r="A18" s="32" t="s">
        <v>627</v>
      </c>
      <c r="B18" s="32" t="s">
        <v>511</v>
      </c>
      <c r="C18" s="32" t="s">
        <v>3421</v>
      </c>
      <c r="D18" s="121" t="s">
        <v>628</v>
      </c>
      <c r="E18" s="32">
        <v>7300750.0</v>
      </c>
      <c r="F18" s="32" t="s">
        <v>629</v>
      </c>
      <c r="G18" s="32" t="s">
        <v>630</v>
      </c>
      <c r="H18" s="32" t="s">
        <v>631</v>
      </c>
      <c r="I18" s="32" t="s">
        <v>632</v>
      </c>
      <c r="J18" s="32" t="s">
        <v>34</v>
      </c>
      <c r="K18" s="32" t="s">
        <v>543</v>
      </c>
      <c r="L18" s="32" t="s">
        <v>569</v>
      </c>
      <c r="M18" s="32"/>
      <c r="N18" s="32" t="s">
        <v>37</v>
      </c>
      <c r="O18" s="32" t="s">
        <v>37</v>
      </c>
      <c r="P18" s="32" t="s">
        <v>37</v>
      </c>
      <c r="Q18" s="32" t="s">
        <v>633</v>
      </c>
      <c r="R18" s="32" t="s">
        <v>34</v>
      </c>
      <c r="S18" s="32" t="s">
        <v>518</v>
      </c>
      <c r="T18" s="32"/>
      <c r="U18" s="32" t="s">
        <v>34</v>
      </c>
      <c r="V18" s="32" t="s">
        <v>34</v>
      </c>
      <c r="W18" s="32" t="s">
        <v>34</v>
      </c>
      <c r="X18" s="32" t="s">
        <v>519</v>
      </c>
      <c r="Y18" s="32" t="s">
        <v>77</v>
      </c>
      <c r="Z18" s="20">
        <v>50.0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>
      <c r="A19" s="32" t="s">
        <v>634</v>
      </c>
      <c r="B19" s="32" t="s">
        <v>511</v>
      </c>
      <c r="C19" s="32" t="s">
        <v>3421</v>
      </c>
      <c r="D19" s="121" t="s">
        <v>635</v>
      </c>
      <c r="E19" s="32">
        <v>5.6828117E7</v>
      </c>
      <c r="F19" s="32" t="s">
        <v>636</v>
      </c>
      <c r="G19" s="32" t="s">
        <v>637</v>
      </c>
      <c r="H19" s="32" t="s">
        <v>638</v>
      </c>
      <c r="I19" s="32" t="s">
        <v>639</v>
      </c>
      <c r="J19" s="32" t="s">
        <v>34</v>
      </c>
      <c r="K19" s="32" t="s">
        <v>35</v>
      </c>
      <c r="L19" s="32">
        <v>30.0</v>
      </c>
      <c r="M19" s="32"/>
      <c r="N19" s="32" t="s">
        <v>37</v>
      </c>
      <c r="O19" s="32" t="s">
        <v>37</v>
      </c>
      <c r="P19" s="32" t="s">
        <v>37</v>
      </c>
      <c r="Q19" s="32"/>
      <c r="R19" s="32" t="s">
        <v>34</v>
      </c>
      <c r="S19" s="32" t="s">
        <v>545</v>
      </c>
      <c r="T19" s="32"/>
      <c r="U19" s="32" t="s">
        <v>34</v>
      </c>
      <c r="V19" s="32" t="s">
        <v>34</v>
      </c>
      <c r="W19" s="32" t="s">
        <v>34</v>
      </c>
      <c r="X19" s="32" t="s">
        <v>640</v>
      </c>
      <c r="Y19" s="32" t="s">
        <v>641</v>
      </c>
      <c r="Z19" s="20">
        <v>15.0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>
      <c r="A20" s="32" t="s">
        <v>642</v>
      </c>
      <c r="B20" s="32" t="s">
        <v>511</v>
      </c>
      <c r="C20" s="32" t="s">
        <v>3421</v>
      </c>
      <c r="D20" s="87" t="s">
        <v>3423</v>
      </c>
      <c r="E20" s="123" t="s">
        <v>644</v>
      </c>
      <c r="F20" s="32" t="s">
        <v>645</v>
      </c>
      <c r="G20" s="32" t="s">
        <v>646</v>
      </c>
      <c r="H20" s="32" t="s">
        <v>647</v>
      </c>
      <c r="I20" s="32" t="s">
        <v>648</v>
      </c>
      <c r="J20" s="32" t="s">
        <v>38</v>
      </c>
      <c r="K20" s="32"/>
      <c r="L20" s="32"/>
      <c r="M20" s="32"/>
      <c r="N20" s="88" t="s">
        <v>74</v>
      </c>
      <c r="O20" s="88" t="s">
        <v>74</v>
      </c>
      <c r="P20" s="88" t="s">
        <v>74</v>
      </c>
      <c r="Q20" s="32"/>
      <c r="R20" s="32" t="s">
        <v>38</v>
      </c>
      <c r="S20" s="32" t="s">
        <v>38</v>
      </c>
      <c r="T20" s="32"/>
      <c r="U20" s="32" t="s">
        <v>38</v>
      </c>
      <c r="V20" s="32" t="s">
        <v>34</v>
      </c>
      <c r="W20" s="32" t="s">
        <v>34</v>
      </c>
      <c r="X20" s="32" t="s">
        <v>519</v>
      </c>
      <c r="Y20" s="32" t="s">
        <v>649</v>
      </c>
      <c r="Z20" s="20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>
      <c r="A21" s="32" t="s">
        <v>650</v>
      </c>
      <c r="B21" s="32" t="s">
        <v>511</v>
      </c>
      <c r="C21" s="32" t="s">
        <v>3421</v>
      </c>
      <c r="D21" s="121" t="s">
        <v>651</v>
      </c>
      <c r="E21" s="32">
        <v>7461717.0</v>
      </c>
      <c r="F21" s="32" t="s">
        <v>652</v>
      </c>
      <c r="G21" s="32" t="s">
        <v>653</v>
      </c>
      <c r="H21" s="32" t="s">
        <v>654</v>
      </c>
      <c r="I21" s="32" t="s">
        <v>648</v>
      </c>
      <c r="J21" s="32" t="s">
        <v>38</v>
      </c>
      <c r="K21" s="32"/>
      <c r="L21" s="32"/>
      <c r="M21" s="32"/>
      <c r="N21" s="88" t="s">
        <v>74</v>
      </c>
      <c r="O21" s="88" t="s">
        <v>74</v>
      </c>
      <c r="P21" s="88" t="s">
        <v>74</v>
      </c>
      <c r="Q21" s="32"/>
      <c r="R21" s="32" t="s">
        <v>38</v>
      </c>
      <c r="S21" s="32" t="s">
        <v>38</v>
      </c>
      <c r="T21" s="32"/>
      <c r="U21" s="32" t="s">
        <v>38</v>
      </c>
      <c r="V21" s="32" t="s">
        <v>34</v>
      </c>
      <c r="W21" s="32" t="s">
        <v>34</v>
      </c>
      <c r="X21" s="32" t="s">
        <v>519</v>
      </c>
      <c r="Y21" s="32" t="s">
        <v>77</v>
      </c>
      <c r="Z21" s="20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>
      <c r="A22" s="32" t="s">
        <v>655</v>
      </c>
      <c r="B22" s="32" t="s">
        <v>511</v>
      </c>
      <c r="C22" s="32" t="s">
        <v>90</v>
      </c>
      <c r="D22" s="124" t="s">
        <v>656</v>
      </c>
      <c r="E22" s="32">
        <v>7461020.0</v>
      </c>
      <c r="F22" s="32" t="s">
        <v>657</v>
      </c>
      <c r="G22" s="32" t="s">
        <v>658</v>
      </c>
      <c r="H22" s="32" t="s">
        <v>659</v>
      </c>
      <c r="I22" s="32" t="s">
        <v>569</v>
      </c>
      <c r="J22" s="32" t="s">
        <v>34</v>
      </c>
      <c r="K22" s="32" t="s">
        <v>543</v>
      </c>
      <c r="L22" s="32">
        <v>70.0</v>
      </c>
      <c r="M22" s="32"/>
      <c r="N22" s="32" t="s">
        <v>37</v>
      </c>
      <c r="O22" s="32" t="s">
        <v>37</v>
      </c>
      <c r="P22" s="32" t="s">
        <v>37</v>
      </c>
      <c r="Q22" s="32"/>
      <c r="R22" s="32" t="s">
        <v>38</v>
      </c>
      <c r="S22" s="32" t="s">
        <v>518</v>
      </c>
      <c r="T22" s="32"/>
      <c r="U22" s="32" t="s">
        <v>34</v>
      </c>
      <c r="V22" s="32" t="s">
        <v>34</v>
      </c>
      <c r="W22" s="32" t="s">
        <v>34</v>
      </c>
      <c r="X22" s="32" t="s">
        <v>519</v>
      </c>
      <c r="Y22" s="32" t="s">
        <v>660</v>
      </c>
      <c r="Z22" s="20">
        <v>15.0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>
      <c r="A23" s="32" t="s">
        <v>661</v>
      </c>
      <c r="B23" s="32" t="s">
        <v>511</v>
      </c>
      <c r="C23" s="32" t="s">
        <v>3421</v>
      </c>
      <c r="D23" s="121" t="s">
        <v>662</v>
      </c>
      <c r="E23" s="32">
        <v>7461030.0</v>
      </c>
      <c r="F23" s="32" t="s">
        <v>663</v>
      </c>
      <c r="G23" s="32" t="s">
        <v>664</v>
      </c>
      <c r="H23" s="32" t="s">
        <v>665</v>
      </c>
      <c r="I23" s="32" t="s">
        <v>618</v>
      </c>
      <c r="J23" s="32" t="s">
        <v>38</v>
      </c>
      <c r="K23" s="32"/>
      <c r="L23" s="32"/>
      <c r="M23" s="32"/>
      <c r="N23" s="32" t="s">
        <v>37</v>
      </c>
      <c r="O23" s="88" t="s">
        <v>74</v>
      </c>
      <c r="P23" s="32" t="s">
        <v>37</v>
      </c>
      <c r="Q23" s="32"/>
      <c r="R23" s="32" t="s">
        <v>38</v>
      </c>
      <c r="S23" s="32" t="s">
        <v>38</v>
      </c>
      <c r="T23" s="32"/>
      <c r="U23" s="32" t="s">
        <v>38</v>
      </c>
      <c r="V23" s="32" t="s">
        <v>34</v>
      </c>
      <c r="W23" s="32" t="s">
        <v>34</v>
      </c>
      <c r="X23" s="32" t="s">
        <v>519</v>
      </c>
      <c r="Y23" s="32" t="s">
        <v>666</v>
      </c>
      <c r="Z23" s="20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>
      <c r="A24" s="32" t="s">
        <v>667</v>
      </c>
      <c r="B24" s="32" t="s">
        <v>511</v>
      </c>
      <c r="C24" s="32" t="s">
        <v>3421</v>
      </c>
      <c r="D24" s="121" t="s">
        <v>668</v>
      </c>
      <c r="E24" s="32"/>
      <c r="F24" s="32" t="s">
        <v>669</v>
      </c>
      <c r="G24" s="32" t="s">
        <v>670</v>
      </c>
      <c r="H24" s="32" t="s">
        <v>671</v>
      </c>
      <c r="I24" s="32" t="s">
        <v>672</v>
      </c>
      <c r="J24" s="32" t="s">
        <v>38</v>
      </c>
      <c r="K24" s="32"/>
      <c r="L24" s="32"/>
      <c r="M24" s="32"/>
      <c r="N24" s="88" t="s">
        <v>74</v>
      </c>
      <c r="O24" s="88" t="s">
        <v>74</v>
      </c>
      <c r="P24" s="88" t="s">
        <v>74</v>
      </c>
      <c r="Q24" s="32"/>
      <c r="R24" s="32" t="s">
        <v>38</v>
      </c>
      <c r="S24" s="32" t="s">
        <v>38</v>
      </c>
      <c r="T24" s="32"/>
      <c r="U24" s="32" t="s">
        <v>38</v>
      </c>
      <c r="V24" s="32" t="s">
        <v>34</v>
      </c>
      <c r="W24" s="32" t="s">
        <v>34</v>
      </c>
      <c r="X24" s="32" t="s">
        <v>519</v>
      </c>
      <c r="Y24" s="32" t="s">
        <v>77</v>
      </c>
      <c r="Z24" s="20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>
      <c r="A25" s="32" t="s">
        <v>673</v>
      </c>
      <c r="B25" s="32" t="s">
        <v>511</v>
      </c>
      <c r="C25" s="32" t="s">
        <v>674</v>
      </c>
      <c r="D25" s="121" t="s">
        <v>675</v>
      </c>
      <c r="E25" s="32">
        <v>7427671.0</v>
      </c>
      <c r="F25" s="32" t="s">
        <v>676</v>
      </c>
      <c r="G25" s="32" t="s">
        <v>677</v>
      </c>
      <c r="H25" s="32" t="s">
        <v>678</v>
      </c>
      <c r="I25" s="32" t="s">
        <v>632</v>
      </c>
      <c r="J25" s="32" t="s">
        <v>34</v>
      </c>
      <c r="K25" s="32" t="s">
        <v>543</v>
      </c>
      <c r="L25" s="32" t="s">
        <v>569</v>
      </c>
      <c r="M25" s="32"/>
      <c r="N25" s="32" t="s">
        <v>37</v>
      </c>
      <c r="O25" s="32" t="s">
        <v>37</v>
      </c>
      <c r="P25" s="32" t="s">
        <v>37</v>
      </c>
      <c r="Q25" s="32"/>
      <c r="R25" s="32" t="s">
        <v>34</v>
      </c>
      <c r="S25" s="32" t="s">
        <v>679</v>
      </c>
      <c r="T25" s="32"/>
      <c r="U25" s="32" t="s">
        <v>38</v>
      </c>
      <c r="V25" s="32" t="s">
        <v>34</v>
      </c>
      <c r="W25" s="32" t="s">
        <v>34</v>
      </c>
      <c r="X25" s="32" t="s">
        <v>519</v>
      </c>
      <c r="Y25" s="32" t="s">
        <v>77</v>
      </c>
      <c r="Z25" s="20" t="s">
        <v>639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>
      <c r="A26" s="32" t="s">
        <v>680</v>
      </c>
      <c r="B26" s="32" t="s">
        <v>511</v>
      </c>
      <c r="C26" s="32" t="s">
        <v>90</v>
      </c>
      <c r="D26" s="121" t="s">
        <v>681</v>
      </c>
      <c r="E26" s="32">
        <v>5.8817811E7</v>
      </c>
      <c r="F26" s="32" t="s">
        <v>682</v>
      </c>
      <c r="G26" s="32" t="s">
        <v>683</v>
      </c>
      <c r="H26" s="32" t="s">
        <v>684</v>
      </c>
      <c r="I26" s="32" t="s">
        <v>569</v>
      </c>
      <c r="J26" s="32" t="s">
        <v>34</v>
      </c>
      <c r="K26" s="32" t="s">
        <v>543</v>
      </c>
      <c r="L26" s="32" t="s">
        <v>685</v>
      </c>
      <c r="M26" s="32"/>
      <c r="N26" s="32" t="s">
        <v>37</v>
      </c>
      <c r="O26" s="32" t="s">
        <v>37</v>
      </c>
      <c r="P26" s="32" t="s">
        <v>37</v>
      </c>
      <c r="Q26" s="32"/>
      <c r="R26" s="32" t="s">
        <v>34</v>
      </c>
      <c r="S26" s="32" t="s">
        <v>679</v>
      </c>
      <c r="T26" s="32"/>
      <c r="U26" s="32" t="s">
        <v>38</v>
      </c>
      <c r="V26" s="32" t="s">
        <v>34</v>
      </c>
      <c r="W26" s="32" t="s">
        <v>34</v>
      </c>
      <c r="X26" s="32" t="s">
        <v>591</v>
      </c>
      <c r="Y26" s="32" t="s">
        <v>77</v>
      </c>
      <c r="Z26" s="20" t="s">
        <v>686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>
      <c r="A27" s="32" t="s">
        <v>687</v>
      </c>
      <c r="B27" s="32" t="s">
        <v>511</v>
      </c>
      <c r="C27" s="32" t="s">
        <v>90</v>
      </c>
      <c r="D27" s="121" t="s">
        <v>688</v>
      </c>
      <c r="E27" s="32">
        <v>7461911.0</v>
      </c>
      <c r="F27" s="32" t="s">
        <v>689</v>
      </c>
      <c r="G27" s="32" t="s">
        <v>690</v>
      </c>
      <c r="H27" s="32" t="s">
        <v>691</v>
      </c>
      <c r="I27" s="32" t="s">
        <v>611</v>
      </c>
      <c r="J27" s="32" t="s">
        <v>34</v>
      </c>
      <c r="K27" s="32" t="s">
        <v>543</v>
      </c>
      <c r="L27" s="32" t="s">
        <v>685</v>
      </c>
      <c r="M27" s="32"/>
      <c r="N27" s="32" t="s">
        <v>37</v>
      </c>
      <c r="O27" s="88" t="s">
        <v>74</v>
      </c>
      <c r="P27" s="32" t="s">
        <v>37</v>
      </c>
      <c r="Q27" s="32"/>
      <c r="R27" s="32" t="s">
        <v>34</v>
      </c>
      <c r="S27" s="32" t="s">
        <v>38</v>
      </c>
      <c r="T27" s="32"/>
      <c r="U27" s="32" t="s">
        <v>34</v>
      </c>
      <c r="V27" s="32" t="s">
        <v>34</v>
      </c>
      <c r="W27" s="32" t="s">
        <v>34</v>
      </c>
      <c r="X27" s="32" t="s">
        <v>692</v>
      </c>
      <c r="Y27" s="32" t="s">
        <v>77</v>
      </c>
      <c r="Z27" s="20" t="s">
        <v>648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>
      <c r="A28" s="32" t="s">
        <v>693</v>
      </c>
      <c r="B28" s="32" t="s">
        <v>511</v>
      </c>
      <c r="C28" s="32" t="s">
        <v>90</v>
      </c>
      <c r="D28" s="121" t="s">
        <v>694</v>
      </c>
      <c r="E28" s="32">
        <v>7461060.0</v>
      </c>
      <c r="F28" s="32" t="s">
        <v>695</v>
      </c>
      <c r="G28" s="32" t="s">
        <v>696</v>
      </c>
      <c r="H28" s="32" t="s">
        <v>697</v>
      </c>
      <c r="I28" s="32" t="s">
        <v>569</v>
      </c>
      <c r="J28" s="32" t="s">
        <v>34</v>
      </c>
      <c r="K28" s="32" t="s">
        <v>35</v>
      </c>
      <c r="L28" s="32">
        <v>60.0</v>
      </c>
      <c r="M28" s="32"/>
      <c r="N28" s="32" t="s">
        <v>37</v>
      </c>
      <c r="O28" s="32" t="s">
        <v>37</v>
      </c>
      <c r="P28" s="32" t="s">
        <v>37</v>
      </c>
      <c r="Q28" s="32"/>
      <c r="R28" s="32" t="s">
        <v>34</v>
      </c>
      <c r="S28" s="32" t="s">
        <v>38</v>
      </c>
      <c r="T28" s="32"/>
      <c r="U28" s="32" t="s">
        <v>34</v>
      </c>
      <c r="V28" s="32" t="s">
        <v>34</v>
      </c>
      <c r="W28" s="32" t="s">
        <v>34</v>
      </c>
      <c r="X28" s="32" t="s">
        <v>698</v>
      </c>
      <c r="Y28" s="32" t="s">
        <v>576</v>
      </c>
      <c r="Z28" s="20">
        <v>40.0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95" t="s">
        <v>699</v>
      </c>
      <c r="B29" s="32" t="s">
        <v>511</v>
      </c>
      <c r="C29" s="32" t="s">
        <v>90</v>
      </c>
      <c r="D29" s="121" t="s">
        <v>700</v>
      </c>
      <c r="E29" s="32">
        <v>7376076.0</v>
      </c>
      <c r="F29" s="32" t="s">
        <v>701</v>
      </c>
      <c r="G29" s="32" t="s">
        <v>702</v>
      </c>
      <c r="H29" s="32" t="s">
        <v>703</v>
      </c>
      <c r="I29" s="32" t="s">
        <v>534</v>
      </c>
      <c r="J29" s="32" t="s">
        <v>34</v>
      </c>
      <c r="K29" s="32" t="s">
        <v>543</v>
      </c>
      <c r="L29" s="32">
        <v>60.0</v>
      </c>
      <c r="M29" s="32"/>
      <c r="N29" s="32" t="s">
        <v>37</v>
      </c>
      <c r="O29" s="88" t="s">
        <v>74</v>
      </c>
      <c r="P29" s="32" t="s">
        <v>37</v>
      </c>
      <c r="Q29" s="32"/>
      <c r="R29" s="32" t="s">
        <v>34</v>
      </c>
      <c r="S29" s="32" t="s">
        <v>518</v>
      </c>
      <c r="T29" s="32"/>
      <c r="U29" s="32" t="s">
        <v>34</v>
      </c>
      <c r="V29" s="32" t="s">
        <v>34</v>
      </c>
      <c r="W29" s="32" t="s">
        <v>34</v>
      </c>
      <c r="X29" s="32" t="s">
        <v>698</v>
      </c>
      <c r="Y29" s="32" t="s">
        <v>704</v>
      </c>
      <c r="Z29" s="20">
        <v>30.0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>
      <c r="A30" s="95" t="s">
        <v>705</v>
      </c>
      <c r="B30" s="32" t="s">
        <v>511</v>
      </c>
      <c r="C30" s="32" t="s">
        <v>90</v>
      </c>
      <c r="D30" s="121" t="s">
        <v>706</v>
      </c>
      <c r="E30" s="32">
        <v>7376180.0</v>
      </c>
      <c r="F30" s="32" t="s">
        <v>707</v>
      </c>
      <c r="G30" s="32" t="s">
        <v>702</v>
      </c>
      <c r="H30" s="32" t="s">
        <v>708</v>
      </c>
      <c r="I30" s="32" t="s">
        <v>632</v>
      </c>
      <c r="J30" s="32" t="s">
        <v>34</v>
      </c>
      <c r="K30" s="32" t="s">
        <v>35</v>
      </c>
      <c r="L30" s="32">
        <v>50.0</v>
      </c>
      <c r="M30" s="32"/>
      <c r="N30" s="32" t="s">
        <v>37</v>
      </c>
      <c r="O30" s="88" t="s">
        <v>74</v>
      </c>
      <c r="P30" s="32" t="s">
        <v>37</v>
      </c>
      <c r="Q30" s="32"/>
      <c r="R30" s="32" t="s">
        <v>34</v>
      </c>
      <c r="S30" s="32" t="s">
        <v>38</v>
      </c>
      <c r="T30" s="32"/>
      <c r="U30" s="32" t="s">
        <v>34</v>
      </c>
      <c r="V30" s="32" t="s">
        <v>34</v>
      </c>
      <c r="W30" s="32" t="s">
        <v>34</v>
      </c>
      <c r="X30" s="32" t="s">
        <v>519</v>
      </c>
      <c r="Y30" s="32" t="s">
        <v>519</v>
      </c>
      <c r="Z30" s="20">
        <v>30.0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>
      <c r="A31" s="32" t="s">
        <v>709</v>
      </c>
      <c r="B31" s="32" t="s">
        <v>511</v>
      </c>
      <c r="C31" s="32" t="s">
        <v>90</v>
      </c>
      <c r="D31" s="121" t="s">
        <v>710</v>
      </c>
      <c r="E31" s="32">
        <v>7375674.0</v>
      </c>
      <c r="F31" s="32" t="s">
        <v>711</v>
      </c>
      <c r="G31" s="32" t="s">
        <v>712</v>
      </c>
      <c r="H31" s="32" t="s">
        <v>713</v>
      </c>
      <c r="I31" s="32" t="s">
        <v>534</v>
      </c>
      <c r="J31" s="32" t="s">
        <v>34</v>
      </c>
      <c r="K31" s="32" t="s">
        <v>714</v>
      </c>
      <c r="L31" s="32">
        <v>300.0</v>
      </c>
      <c r="M31" s="32"/>
      <c r="N31" s="32" t="s">
        <v>37</v>
      </c>
      <c r="O31" s="88" t="s">
        <v>74</v>
      </c>
      <c r="P31" s="32" t="s">
        <v>37</v>
      </c>
      <c r="Q31" s="32"/>
      <c r="R31" s="32" t="s">
        <v>34</v>
      </c>
      <c r="S31" s="32" t="s">
        <v>38</v>
      </c>
      <c r="T31" s="32"/>
      <c r="U31" s="32" t="s">
        <v>34</v>
      </c>
      <c r="V31" s="32" t="s">
        <v>34</v>
      </c>
      <c r="W31" s="32" t="s">
        <v>34</v>
      </c>
      <c r="X31" s="32" t="s">
        <v>715</v>
      </c>
      <c r="Y31" s="32" t="s">
        <v>716</v>
      </c>
      <c r="Z31" s="20">
        <v>100.0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20" t="s">
        <v>717</v>
      </c>
      <c r="B32" s="32" t="s">
        <v>511</v>
      </c>
      <c r="C32" s="32" t="s">
        <v>718</v>
      </c>
      <c r="D32" s="121" t="s">
        <v>719</v>
      </c>
      <c r="E32" s="32">
        <v>5.8877807E7</v>
      </c>
      <c r="F32" s="32" t="s">
        <v>720</v>
      </c>
      <c r="G32" s="32" t="s">
        <v>721</v>
      </c>
      <c r="H32" s="32" t="s">
        <v>722</v>
      </c>
      <c r="I32" s="32" t="s">
        <v>632</v>
      </c>
      <c r="J32" s="32" t="s">
        <v>34</v>
      </c>
      <c r="K32" s="32" t="s">
        <v>543</v>
      </c>
      <c r="L32" s="32">
        <v>120.0</v>
      </c>
      <c r="M32" s="32"/>
      <c r="N32" s="32" t="s">
        <v>37</v>
      </c>
      <c r="O32" s="32" t="s">
        <v>37</v>
      </c>
      <c r="P32" s="32" t="s">
        <v>37</v>
      </c>
      <c r="Q32" s="32"/>
      <c r="R32" s="32" t="s">
        <v>38</v>
      </c>
      <c r="S32" s="32" t="s">
        <v>518</v>
      </c>
      <c r="T32" s="32"/>
      <c r="U32" s="32" t="s">
        <v>38</v>
      </c>
      <c r="V32" s="32" t="s">
        <v>34</v>
      </c>
      <c r="W32" s="32" t="s">
        <v>34</v>
      </c>
      <c r="X32" s="32" t="s">
        <v>698</v>
      </c>
      <c r="Y32" s="32" t="s">
        <v>723</v>
      </c>
      <c r="Z32" s="20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20" t="s">
        <v>724</v>
      </c>
      <c r="B33" s="32" t="s">
        <v>511</v>
      </c>
      <c r="C33" s="32" t="s">
        <v>718</v>
      </c>
      <c r="D33" s="121" t="s">
        <v>725</v>
      </c>
      <c r="E33" s="32">
        <v>6336020.0</v>
      </c>
      <c r="F33" s="32" t="s">
        <v>726</v>
      </c>
      <c r="G33" s="32"/>
      <c r="H33" s="32" t="s">
        <v>727</v>
      </c>
      <c r="I33" s="32">
        <v>511.0</v>
      </c>
      <c r="J33" s="32" t="s">
        <v>34</v>
      </c>
      <c r="K33" s="32" t="s">
        <v>543</v>
      </c>
      <c r="L33" s="32">
        <v>264.0</v>
      </c>
      <c r="M33" s="32"/>
      <c r="N33" s="32" t="s">
        <v>37</v>
      </c>
      <c r="O33" s="32" t="s">
        <v>37</v>
      </c>
      <c r="P33" s="32" t="s">
        <v>37</v>
      </c>
      <c r="Q33" s="32"/>
      <c r="R33" s="32" t="s">
        <v>38</v>
      </c>
      <c r="S33" s="32" t="s">
        <v>38</v>
      </c>
      <c r="T33" s="32"/>
      <c r="U33" s="32" t="s">
        <v>34</v>
      </c>
      <c r="V33" s="32" t="s">
        <v>34</v>
      </c>
      <c r="W33" s="32" t="s">
        <v>34</v>
      </c>
      <c r="X33" s="32" t="s">
        <v>546</v>
      </c>
      <c r="Y33" s="32" t="s">
        <v>77</v>
      </c>
      <c r="Z33" s="20">
        <v>121.0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A34" s="20" t="s">
        <v>728</v>
      </c>
      <c r="B34" s="32" t="s">
        <v>511</v>
      </c>
      <c r="C34" s="32" t="s">
        <v>718</v>
      </c>
      <c r="D34" s="121" t="s">
        <v>725</v>
      </c>
      <c r="E34" s="32">
        <v>6336020.0</v>
      </c>
      <c r="F34" s="32" t="s">
        <v>726</v>
      </c>
      <c r="G34" s="32"/>
      <c r="H34" s="32" t="s">
        <v>729</v>
      </c>
      <c r="I34" s="32">
        <v>947.0</v>
      </c>
      <c r="J34" s="32" t="s">
        <v>34</v>
      </c>
      <c r="K34" s="32" t="s">
        <v>543</v>
      </c>
      <c r="L34" s="32">
        <v>317.0</v>
      </c>
      <c r="M34" s="32"/>
      <c r="N34" s="32" t="s">
        <v>37</v>
      </c>
      <c r="O34" s="32" t="s">
        <v>37</v>
      </c>
      <c r="P34" s="32" t="s">
        <v>37</v>
      </c>
      <c r="Q34" s="32"/>
      <c r="R34" s="32" t="s">
        <v>38</v>
      </c>
      <c r="S34" s="32" t="s">
        <v>38</v>
      </c>
      <c r="T34" s="32"/>
      <c r="U34" s="32" t="s">
        <v>34</v>
      </c>
      <c r="V34" s="32" t="s">
        <v>34</v>
      </c>
      <c r="W34" s="32" t="s">
        <v>34</v>
      </c>
      <c r="X34" s="32" t="s">
        <v>546</v>
      </c>
      <c r="Y34" s="32" t="s">
        <v>77</v>
      </c>
      <c r="Z34" s="20">
        <v>163.0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>
      <c r="A35" s="20" t="s">
        <v>730</v>
      </c>
      <c r="B35" s="32" t="s">
        <v>511</v>
      </c>
      <c r="C35" s="32" t="s">
        <v>718</v>
      </c>
      <c r="D35" s="121" t="s">
        <v>731</v>
      </c>
      <c r="E35" s="32">
        <v>5.5631359E7</v>
      </c>
      <c r="F35" s="32" t="s">
        <v>732</v>
      </c>
      <c r="G35" s="32" t="s">
        <v>733</v>
      </c>
      <c r="H35" s="32" t="s">
        <v>734</v>
      </c>
      <c r="I35" s="32" t="s">
        <v>735</v>
      </c>
      <c r="J35" s="32" t="s">
        <v>34</v>
      </c>
      <c r="K35" s="32" t="s">
        <v>543</v>
      </c>
      <c r="L35" s="32">
        <v>238.0</v>
      </c>
      <c r="M35" s="32" t="s">
        <v>736</v>
      </c>
      <c r="N35" s="32" t="s">
        <v>37</v>
      </c>
      <c r="O35" s="32" t="s">
        <v>37</v>
      </c>
      <c r="P35" s="32" t="s">
        <v>37</v>
      </c>
      <c r="Q35" s="32"/>
      <c r="R35" s="32" t="s">
        <v>34</v>
      </c>
      <c r="S35" s="32" t="s">
        <v>518</v>
      </c>
      <c r="T35" s="32"/>
      <c r="U35" s="32" t="s">
        <v>34</v>
      </c>
      <c r="V35" s="32" t="s">
        <v>34</v>
      </c>
      <c r="W35" s="32" t="s">
        <v>34</v>
      </c>
      <c r="X35" s="32" t="s">
        <v>519</v>
      </c>
      <c r="Y35" s="32" t="s">
        <v>77</v>
      </c>
      <c r="Z35" s="20">
        <v>100.0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>
      <c r="A36" s="20" t="s">
        <v>737</v>
      </c>
      <c r="B36" s="32" t="s">
        <v>511</v>
      </c>
      <c r="C36" s="32" t="s">
        <v>112</v>
      </c>
      <c r="D36" s="121" t="s">
        <v>738</v>
      </c>
      <c r="E36" s="32">
        <v>7361370.0</v>
      </c>
      <c r="F36" s="32" t="s">
        <v>739</v>
      </c>
      <c r="G36" s="32" t="s">
        <v>740</v>
      </c>
      <c r="H36" s="32" t="s">
        <v>741</v>
      </c>
      <c r="I36" s="32" t="s">
        <v>569</v>
      </c>
      <c r="J36" s="32" t="s">
        <v>34</v>
      </c>
      <c r="K36" s="32" t="s">
        <v>742</v>
      </c>
      <c r="L36" s="32">
        <v>85.0</v>
      </c>
      <c r="M36" s="32"/>
      <c r="N36" s="32" t="s">
        <v>37</v>
      </c>
      <c r="O36" s="88" t="s">
        <v>74</v>
      </c>
      <c r="P36" s="32" t="s">
        <v>37</v>
      </c>
      <c r="Q36" s="32"/>
      <c r="R36" s="32" t="s">
        <v>34</v>
      </c>
      <c r="S36" s="32" t="s">
        <v>518</v>
      </c>
      <c r="T36" s="32"/>
      <c r="U36" s="32" t="s">
        <v>34</v>
      </c>
      <c r="V36" s="32" t="s">
        <v>34</v>
      </c>
      <c r="W36" s="32" t="s">
        <v>34</v>
      </c>
      <c r="X36" s="32" t="s">
        <v>640</v>
      </c>
      <c r="Y36" s="32" t="s">
        <v>77</v>
      </c>
      <c r="Z36" s="20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>
      <c r="A37" s="20" t="s">
        <v>743</v>
      </c>
      <c r="B37" s="32" t="s">
        <v>511</v>
      </c>
      <c r="C37" s="32" t="s">
        <v>112</v>
      </c>
      <c r="D37" s="121" t="s">
        <v>744</v>
      </c>
      <c r="E37" s="32">
        <v>7375727.0</v>
      </c>
      <c r="F37" s="32" t="s">
        <v>745</v>
      </c>
      <c r="G37" s="32" t="s">
        <v>746</v>
      </c>
      <c r="H37" s="32" t="s">
        <v>747</v>
      </c>
      <c r="I37" s="32" t="s">
        <v>748</v>
      </c>
      <c r="J37" s="32" t="s">
        <v>34</v>
      </c>
      <c r="K37" s="32" t="s">
        <v>543</v>
      </c>
      <c r="L37" s="32">
        <v>200.0</v>
      </c>
      <c r="M37" s="32"/>
      <c r="N37" s="32" t="s">
        <v>37</v>
      </c>
      <c r="O37" s="88" t="s">
        <v>74</v>
      </c>
      <c r="P37" s="32" t="s">
        <v>37</v>
      </c>
      <c r="Q37" s="32"/>
      <c r="R37" s="32" t="s">
        <v>34</v>
      </c>
      <c r="S37" s="32" t="s">
        <v>679</v>
      </c>
      <c r="T37" s="32"/>
      <c r="U37" s="32" t="s">
        <v>34</v>
      </c>
      <c r="V37" s="32" t="s">
        <v>34</v>
      </c>
      <c r="W37" s="32" t="s">
        <v>34</v>
      </c>
      <c r="X37" s="32" t="s">
        <v>640</v>
      </c>
      <c r="Y37" s="32" t="s">
        <v>749</v>
      </c>
      <c r="Z37" s="20">
        <v>58.0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20" t="s">
        <v>750</v>
      </c>
      <c r="B38" s="32" t="s">
        <v>511</v>
      </c>
      <c r="C38" s="32" t="s">
        <v>674</v>
      </c>
      <c r="D38" s="121" t="s">
        <v>751</v>
      </c>
      <c r="E38" s="125">
        <v>5.8601704E7</v>
      </c>
      <c r="F38" s="32" t="s">
        <v>752</v>
      </c>
      <c r="G38" s="32" t="s">
        <v>753</v>
      </c>
      <c r="H38" s="32" t="s">
        <v>754</v>
      </c>
      <c r="I38" s="32" t="s">
        <v>632</v>
      </c>
      <c r="J38" s="32" t="s">
        <v>34</v>
      </c>
      <c r="K38" s="32" t="s">
        <v>35</v>
      </c>
      <c r="L38" s="32">
        <v>100.0</v>
      </c>
      <c r="M38" s="32"/>
      <c r="N38" s="32" t="s">
        <v>37</v>
      </c>
      <c r="O38" s="88" t="s">
        <v>74</v>
      </c>
      <c r="P38" s="32" t="s">
        <v>37</v>
      </c>
      <c r="Q38" s="32"/>
      <c r="R38" s="32" t="s">
        <v>34</v>
      </c>
      <c r="S38" s="32" t="s">
        <v>518</v>
      </c>
      <c r="T38" s="32"/>
      <c r="U38" s="32" t="s">
        <v>34</v>
      </c>
      <c r="V38" s="32" t="s">
        <v>34</v>
      </c>
      <c r="W38" s="32" t="s">
        <v>34</v>
      </c>
      <c r="X38" s="32" t="s">
        <v>640</v>
      </c>
      <c r="Y38" s="32" t="s">
        <v>755</v>
      </c>
      <c r="Z38" s="20">
        <v>45.0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20" t="s">
        <v>756</v>
      </c>
      <c r="B39" s="32" t="s">
        <v>511</v>
      </c>
      <c r="C39" s="32" t="s">
        <v>3424</v>
      </c>
      <c r="D39" s="121" t="s">
        <v>757</v>
      </c>
      <c r="E39" s="125">
        <v>5.8601704E7</v>
      </c>
      <c r="F39" s="32" t="s">
        <v>752</v>
      </c>
      <c r="G39" s="32" t="s">
        <v>753</v>
      </c>
      <c r="H39" s="32" t="s">
        <v>758</v>
      </c>
      <c r="I39" s="32" t="s">
        <v>569</v>
      </c>
      <c r="J39" s="32" t="s">
        <v>34</v>
      </c>
      <c r="K39" s="32" t="s">
        <v>35</v>
      </c>
      <c r="L39" s="32">
        <v>45.0</v>
      </c>
      <c r="M39" s="32"/>
      <c r="N39" s="32" t="s">
        <v>37</v>
      </c>
      <c r="O39" s="88" t="s">
        <v>74</v>
      </c>
      <c r="P39" s="32" t="s">
        <v>37</v>
      </c>
      <c r="Q39" s="32"/>
      <c r="R39" s="32" t="s">
        <v>34</v>
      </c>
      <c r="S39" s="32" t="s">
        <v>518</v>
      </c>
      <c r="T39" s="32"/>
      <c r="U39" s="32" t="s">
        <v>34</v>
      </c>
      <c r="V39" s="32" t="s">
        <v>34</v>
      </c>
      <c r="W39" s="32" t="s">
        <v>34</v>
      </c>
      <c r="X39" s="32" t="s">
        <v>519</v>
      </c>
      <c r="Y39" s="32" t="s">
        <v>759</v>
      </c>
      <c r="Z39" s="20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20" t="s">
        <v>760</v>
      </c>
      <c r="B40" s="32" t="s">
        <v>511</v>
      </c>
      <c r="C40" s="32" t="s">
        <v>3425</v>
      </c>
      <c r="D40" s="121" t="s">
        <v>761</v>
      </c>
      <c r="E40" s="32">
        <v>5063448.0</v>
      </c>
      <c r="F40" s="32" t="s">
        <v>762</v>
      </c>
      <c r="G40" s="32" t="s">
        <v>763</v>
      </c>
      <c r="H40" s="32" t="s">
        <v>764</v>
      </c>
      <c r="I40" s="32">
        <v>380.0</v>
      </c>
      <c r="J40" s="32" t="s">
        <v>34</v>
      </c>
      <c r="K40" s="32" t="s">
        <v>543</v>
      </c>
      <c r="L40" s="32">
        <v>280.0</v>
      </c>
      <c r="M40" s="32" t="s">
        <v>765</v>
      </c>
      <c r="N40" s="88" t="s">
        <v>74</v>
      </c>
      <c r="O40" s="88" t="s">
        <v>74</v>
      </c>
      <c r="P40" s="88" t="s">
        <v>74</v>
      </c>
      <c r="Q40" s="32"/>
      <c r="R40" s="32" t="s">
        <v>38</v>
      </c>
      <c r="S40" s="32" t="s">
        <v>518</v>
      </c>
      <c r="T40" s="32"/>
      <c r="U40" s="32" t="s">
        <v>38</v>
      </c>
      <c r="V40" s="32" t="s">
        <v>34</v>
      </c>
      <c r="W40" s="32" t="s">
        <v>34</v>
      </c>
      <c r="X40" s="32" t="s">
        <v>519</v>
      </c>
      <c r="Y40" s="32" t="s">
        <v>77</v>
      </c>
      <c r="Z40" s="20">
        <v>100.0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20" t="s">
        <v>766</v>
      </c>
      <c r="B41" s="32" t="s">
        <v>511</v>
      </c>
      <c r="C41" s="32" t="s">
        <v>3425</v>
      </c>
      <c r="D41" s="121" t="s">
        <v>761</v>
      </c>
      <c r="E41" s="32">
        <v>5063448.0</v>
      </c>
      <c r="F41" s="32" t="s">
        <v>762</v>
      </c>
      <c r="G41" s="32" t="s">
        <v>763</v>
      </c>
      <c r="H41" s="32" t="s">
        <v>767</v>
      </c>
      <c r="I41" s="32" t="s">
        <v>768</v>
      </c>
      <c r="J41" s="32" t="s">
        <v>34</v>
      </c>
      <c r="K41" s="32" t="s">
        <v>35</v>
      </c>
      <c r="L41" s="32">
        <v>2000.0</v>
      </c>
      <c r="M41" s="32"/>
      <c r="N41" s="88" t="s">
        <v>74</v>
      </c>
      <c r="O41" s="88" t="s">
        <v>74</v>
      </c>
      <c r="P41" s="88" t="s">
        <v>74</v>
      </c>
      <c r="Q41" s="32"/>
      <c r="R41" s="32" t="s">
        <v>34</v>
      </c>
      <c r="S41" s="32" t="s">
        <v>518</v>
      </c>
      <c r="T41" s="32"/>
      <c r="U41" s="32" t="s">
        <v>34</v>
      </c>
      <c r="V41" s="32" t="s">
        <v>34</v>
      </c>
      <c r="W41" s="32" t="s">
        <v>34</v>
      </c>
      <c r="X41" s="32" t="s">
        <v>519</v>
      </c>
      <c r="Y41" s="32" t="s">
        <v>77</v>
      </c>
      <c r="Z41" s="20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20" t="s">
        <v>769</v>
      </c>
      <c r="B42" s="32" t="s">
        <v>511</v>
      </c>
      <c r="C42" s="32" t="s">
        <v>674</v>
      </c>
      <c r="D42" s="121" t="s">
        <v>770</v>
      </c>
      <c r="E42" s="32">
        <v>7349954.0</v>
      </c>
      <c r="F42" s="32" t="s">
        <v>771</v>
      </c>
      <c r="G42" s="32" t="s">
        <v>772</v>
      </c>
      <c r="H42" s="32" t="s">
        <v>773</v>
      </c>
      <c r="I42" s="32" t="s">
        <v>632</v>
      </c>
      <c r="J42" s="32" t="s">
        <v>34</v>
      </c>
      <c r="K42" s="32" t="s">
        <v>35</v>
      </c>
      <c r="L42" s="32">
        <v>100.0</v>
      </c>
      <c r="M42" s="32"/>
      <c r="N42" s="32" t="s">
        <v>37</v>
      </c>
      <c r="O42" s="88" t="s">
        <v>74</v>
      </c>
      <c r="P42" s="32" t="s">
        <v>37</v>
      </c>
      <c r="Q42" s="32"/>
      <c r="R42" s="32" t="s">
        <v>34</v>
      </c>
      <c r="S42" s="32" t="s">
        <v>774</v>
      </c>
      <c r="T42" s="32"/>
      <c r="U42" s="32" t="s">
        <v>34</v>
      </c>
      <c r="V42" s="32" t="s">
        <v>34</v>
      </c>
      <c r="W42" s="32" t="s">
        <v>34</v>
      </c>
      <c r="X42" s="32" t="s">
        <v>519</v>
      </c>
      <c r="Y42" s="32" t="s">
        <v>77</v>
      </c>
      <c r="Z42" s="20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20" t="s">
        <v>775</v>
      </c>
      <c r="B43" s="32" t="s">
        <v>511</v>
      </c>
      <c r="C43" s="32" t="s">
        <v>674</v>
      </c>
      <c r="D43" s="121" t="s">
        <v>776</v>
      </c>
      <c r="E43" s="32">
        <v>7442170.0</v>
      </c>
      <c r="F43" s="32" t="s">
        <v>777</v>
      </c>
      <c r="G43" s="32" t="s">
        <v>778</v>
      </c>
      <c r="H43" s="32" t="s">
        <v>779</v>
      </c>
      <c r="I43" s="32" t="s">
        <v>780</v>
      </c>
      <c r="J43" s="32" t="s">
        <v>38</v>
      </c>
      <c r="K43" s="32"/>
      <c r="L43" s="32"/>
      <c r="M43" s="32"/>
      <c r="N43" s="88" t="s">
        <v>74</v>
      </c>
      <c r="O43" s="88" t="s">
        <v>74</v>
      </c>
      <c r="P43" s="88" t="s">
        <v>74</v>
      </c>
      <c r="Q43" s="32"/>
      <c r="R43" s="32" t="s">
        <v>34</v>
      </c>
      <c r="S43" s="32" t="s">
        <v>774</v>
      </c>
      <c r="T43" s="32"/>
      <c r="U43" s="32" t="s">
        <v>34</v>
      </c>
      <c r="V43" s="32" t="s">
        <v>34</v>
      </c>
      <c r="W43" s="32" t="s">
        <v>34</v>
      </c>
      <c r="X43" s="32" t="s">
        <v>519</v>
      </c>
      <c r="Y43" s="32" t="s">
        <v>77</v>
      </c>
      <c r="Z43" s="20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20" t="s">
        <v>781</v>
      </c>
      <c r="B44" s="32" t="s">
        <v>511</v>
      </c>
      <c r="C44" s="32" t="s">
        <v>674</v>
      </c>
      <c r="D44" s="121" t="s">
        <v>782</v>
      </c>
      <c r="E44" s="32">
        <v>5.5607971E7</v>
      </c>
      <c r="F44" s="32" t="s">
        <v>783</v>
      </c>
      <c r="G44" s="32" t="s">
        <v>784</v>
      </c>
      <c r="H44" s="32" t="s">
        <v>785</v>
      </c>
      <c r="I44" s="32" t="s">
        <v>618</v>
      </c>
      <c r="J44" s="32" t="s">
        <v>34</v>
      </c>
      <c r="K44" s="32" t="s">
        <v>35</v>
      </c>
      <c r="L44" s="32">
        <v>20.0</v>
      </c>
      <c r="M44" s="32"/>
      <c r="N44" s="88" t="s">
        <v>74</v>
      </c>
      <c r="O44" s="88" t="s">
        <v>74</v>
      </c>
      <c r="P44" s="32" t="s">
        <v>37</v>
      </c>
      <c r="Q44" s="32"/>
      <c r="R44" s="32" t="s">
        <v>34</v>
      </c>
      <c r="S44" s="32" t="s">
        <v>545</v>
      </c>
      <c r="T44" s="32"/>
      <c r="U44" s="32" t="s">
        <v>34</v>
      </c>
      <c r="V44" s="32" t="s">
        <v>34</v>
      </c>
      <c r="W44" s="32" t="s">
        <v>34</v>
      </c>
      <c r="X44" s="32" t="s">
        <v>519</v>
      </c>
      <c r="Y44" s="32" t="s">
        <v>786</v>
      </c>
      <c r="Z44" s="20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20" t="s">
        <v>787</v>
      </c>
      <c r="B45" s="32" t="s">
        <v>511</v>
      </c>
      <c r="C45" s="32" t="s">
        <v>3424</v>
      </c>
      <c r="D45" s="121" t="s">
        <v>788</v>
      </c>
      <c r="E45" s="32">
        <v>7361560.0</v>
      </c>
      <c r="F45" s="32" t="s">
        <v>789</v>
      </c>
      <c r="G45" s="32" t="s">
        <v>790</v>
      </c>
      <c r="H45" s="32" t="s">
        <v>791</v>
      </c>
      <c r="I45" s="32" t="s">
        <v>632</v>
      </c>
      <c r="J45" s="32" t="s">
        <v>34</v>
      </c>
      <c r="K45" s="32" t="s">
        <v>543</v>
      </c>
      <c r="L45" s="32">
        <v>100.0</v>
      </c>
      <c r="M45" s="32" t="s">
        <v>792</v>
      </c>
      <c r="N45" s="32" t="s">
        <v>37</v>
      </c>
      <c r="O45" s="32" t="s">
        <v>37</v>
      </c>
      <c r="P45" s="32" t="s">
        <v>37</v>
      </c>
      <c r="Q45" s="32"/>
      <c r="R45" s="32" t="s">
        <v>38</v>
      </c>
      <c r="S45" s="32" t="s">
        <v>518</v>
      </c>
      <c r="T45" s="32"/>
      <c r="U45" s="32" t="s">
        <v>38</v>
      </c>
      <c r="V45" s="32" t="s">
        <v>34</v>
      </c>
      <c r="W45" s="32" t="s">
        <v>34</v>
      </c>
      <c r="X45" s="32" t="s">
        <v>640</v>
      </c>
      <c r="Y45" s="32" t="s">
        <v>77</v>
      </c>
      <c r="Z45" s="20">
        <v>40.0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32" t="s">
        <v>793</v>
      </c>
      <c r="B46" s="32" t="s">
        <v>511</v>
      </c>
      <c r="C46" s="32" t="s">
        <v>3424</v>
      </c>
      <c r="D46" s="121" t="s">
        <v>794</v>
      </c>
      <c r="E46" s="32">
        <v>7302400.0</v>
      </c>
      <c r="F46" s="32" t="s">
        <v>795</v>
      </c>
      <c r="G46" s="32" t="s">
        <v>796</v>
      </c>
      <c r="H46" s="32" t="s">
        <v>797</v>
      </c>
      <c r="I46" s="32" t="s">
        <v>534</v>
      </c>
      <c r="J46" s="32" t="s">
        <v>34</v>
      </c>
      <c r="K46" s="32" t="s">
        <v>543</v>
      </c>
      <c r="L46" s="32">
        <v>300.0</v>
      </c>
      <c r="M46" s="32" t="s">
        <v>798</v>
      </c>
      <c r="N46" s="32" t="s">
        <v>37</v>
      </c>
      <c r="O46" s="32" t="s">
        <v>37</v>
      </c>
      <c r="P46" s="32" t="s">
        <v>37</v>
      </c>
      <c r="Q46" s="32"/>
      <c r="R46" s="32" t="s">
        <v>34</v>
      </c>
      <c r="S46" s="32" t="s">
        <v>518</v>
      </c>
      <c r="T46" s="32"/>
      <c r="U46" s="32" t="s">
        <v>38</v>
      </c>
      <c r="V46" s="32" t="s">
        <v>34</v>
      </c>
      <c r="W46" s="32" t="s">
        <v>34</v>
      </c>
      <c r="X46" s="32" t="s">
        <v>640</v>
      </c>
      <c r="Y46" s="32" t="s">
        <v>799</v>
      </c>
      <c r="Z46" s="20">
        <v>100.0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32" t="s">
        <v>800</v>
      </c>
      <c r="B47" s="32" t="s">
        <v>511</v>
      </c>
      <c r="C47" s="32" t="s">
        <v>3426</v>
      </c>
      <c r="D47" s="121" t="s">
        <v>802</v>
      </c>
      <c r="E47" s="32">
        <v>5.348553E7</v>
      </c>
      <c r="F47" s="32" t="s">
        <v>803</v>
      </c>
      <c r="G47" s="32" t="s">
        <v>804</v>
      </c>
      <c r="H47" s="32" t="s">
        <v>805</v>
      </c>
      <c r="I47" s="32" t="s">
        <v>806</v>
      </c>
      <c r="J47" s="32" t="s">
        <v>34</v>
      </c>
      <c r="K47" s="32" t="s">
        <v>543</v>
      </c>
      <c r="L47" s="32">
        <v>400.0</v>
      </c>
      <c r="M47" s="32" t="s">
        <v>807</v>
      </c>
      <c r="N47" s="32" t="s">
        <v>37</v>
      </c>
      <c r="O47" s="32" t="s">
        <v>37</v>
      </c>
      <c r="P47" s="32" t="s">
        <v>37</v>
      </c>
      <c r="Q47" s="32"/>
      <c r="R47" s="32" t="s">
        <v>34</v>
      </c>
      <c r="S47" s="32" t="s">
        <v>518</v>
      </c>
      <c r="T47" s="32"/>
      <c r="U47" s="32" t="s">
        <v>34</v>
      </c>
      <c r="V47" s="32" t="s">
        <v>34</v>
      </c>
      <c r="W47" s="32" t="s">
        <v>34</v>
      </c>
      <c r="X47" s="32" t="s">
        <v>519</v>
      </c>
      <c r="Y47" s="32" t="s">
        <v>808</v>
      </c>
      <c r="Z47" s="20">
        <v>80.0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32" t="s">
        <v>809</v>
      </c>
      <c r="B48" s="32" t="s">
        <v>511</v>
      </c>
      <c r="C48" s="32" t="s">
        <v>3426</v>
      </c>
      <c r="D48" s="121" t="s">
        <v>810</v>
      </c>
      <c r="E48" s="32">
        <v>5094902.0</v>
      </c>
      <c r="F48" s="32" t="s">
        <v>811</v>
      </c>
      <c r="G48" s="32" t="s">
        <v>812</v>
      </c>
      <c r="H48" s="32" t="s">
        <v>623</v>
      </c>
      <c r="I48" s="32" t="s">
        <v>534</v>
      </c>
      <c r="J48" s="32" t="s">
        <v>34</v>
      </c>
      <c r="K48" s="32" t="s">
        <v>35</v>
      </c>
      <c r="L48" s="32">
        <v>250.0</v>
      </c>
      <c r="M48" s="32"/>
      <c r="N48" s="32" t="s">
        <v>37</v>
      </c>
      <c r="O48" s="32" t="s">
        <v>37</v>
      </c>
      <c r="P48" s="32" t="s">
        <v>37</v>
      </c>
      <c r="Q48" s="32"/>
      <c r="R48" s="32" t="s">
        <v>34</v>
      </c>
      <c r="S48" s="32" t="s">
        <v>518</v>
      </c>
      <c r="T48" s="32"/>
      <c r="U48" s="32" t="s">
        <v>34</v>
      </c>
      <c r="V48" s="32" t="s">
        <v>34</v>
      </c>
      <c r="W48" s="32" t="s">
        <v>34</v>
      </c>
      <c r="X48" s="32" t="s">
        <v>546</v>
      </c>
      <c r="Y48" s="32" t="s">
        <v>626</v>
      </c>
      <c r="Z48" s="20">
        <v>150.0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32" t="s">
        <v>813</v>
      </c>
      <c r="B49" s="32" t="s">
        <v>511</v>
      </c>
      <c r="C49" s="32" t="s">
        <v>3426</v>
      </c>
      <c r="D49" s="121" t="s">
        <v>814</v>
      </c>
      <c r="E49" s="32">
        <v>7424341.0</v>
      </c>
      <c r="F49" s="32" t="s">
        <v>815</v>
      </c>
      <c r="G49" s="32" t="s">
        <v>816</v>
      </c>
      <c r="H49" s="32" t="s">
        <v>817</v>
      </c>
      <c r="I49" s="32" t="s">
        <v>818</v>
      </c>
      <c r="J49" s="32" t="s">
        <v>34</v>
      </c>
      <c r="K49" s="32" t="s">
        <v>35</v>
      </c>
      <c r="L49" s="32">
        <v>1000.0</v>
      </c>
      <c r="M49" s="32" t="s">
        <v>736</v>
      </c>
      <c r="N49" s="32" t="s">
        <v>37</v>
      </c>
      <c r="O49" s="32" t="s">
        <v>37</v>
      </c>
      <c r="P49" s="32" t="s">
        <v>37</v>
      </c>
      <c r="Q49" s="32"/>
      <c r="R49" s="32" t="s">
        <v>38</v>
      </c>
      <c r="S49" s="32" t="s">
        <v>518</v>
      </c>
      <c r="T49" s="32"/>
      <c r="U49" s="32" t="s">
        <v>34</v>
      </c>
      <c r="V49" s="32" t="s">
        <v>34</v>
      </c>
      <c r="W49" s="32" t="s">
        <v>34</v>
      </c>
      <c r="X49" s="32" t="s">
        <v>519</v>
      </c>
      <c r="Y49" s="32" t="s">
        <v>77</v>
      </c>
      <c r="Z49" s="20">
        <v>200.0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32" t="s">
        <v>819</v>
      </c>
      <c r="B50" s="32" t="s">
        <v>511</v>
      </c>
      <c r="C50" s="32" t="s">
        <v>3426</v>
      </c>
      <c r="D50" s="121" t="s">
        <v>820</v>
      </c>
      <c r="E50" s="32">
        <v>7422098.0</v>
      </c>
      <c r="F50" s="32" t="s">
        <v>821</v>
      </c>
      <c r="G50" s="32" t="s">
        <v>822</v>
      </c>
      <c r="H50" s="32" t="s">
        <v>823</v>
      </c>
      <c r="I50" s="32" t="s">
        <v>534</v>
      </c>
      <c r="J50" s="32" t="s">
        <v>34</v>
      </c>
      <c r="K50" s="32" t="s">
        <v>543</v>
      </c>
      <c r="L50" s="32">
        <v>200.0</v>
      </c>
      <c r="M50" s="32" t="s">
        <v>824</v>
      </c>
      <c r="N50" s="32" t="s">
        <v>37</v>
      </c>
      <c r="O50" s="32" t="s">
        <v>37</v>
      </c>
      <c r="P50" s="32" t="s">
        <v>37</v>
      </c>
      <c r="Q50" s="32"/>
      <c r="R50" s="32" t="s">
        <v>38</v>
      </c>
      <c r="S50" s="32" t="s">
        <v>518</v>
      </c>
      <c r="T50" s="32"/>
      <c r="U50" s="32" t="s">
        <v>38</v>
      </c>
      <c r="V50" s="32" t="s">
        <v>34</v>
      </c>
      <c r="W50" s="32" t="s">
        <v>34</v>
      </c>
      <c r="X50" s="32" t="s">
        <v>640</v>
      </c>
      <c r="Y50" s="32" t="s">
        <v>825</v>
      </c>
      <c r="Z50" s="20">
        <v>50.0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32" t="s">
        <v>826</v>
      </c>
      <c r="B51" s="32" t="s">
        <v>511</v>
      </c>
      <c r="C51" s="32" t="s">
        <v>3426</v>
      </c>
      <c r="D51" s="121" t="s">
        <v>827</v>
      </c>
      <c r="E51" s="32">
        <v>7366273.0</v>
      </c>
      <c r="F51" s="32" t="s">
        <v>828</v>
      </c>
      <c r="G51" s="32" t="s">
        <v>829</v>
      </c>
      <c r="H51" s="32" t="s">
        <v>830</v>
      </c>
      <c r="I51" s="32" t="s">
        <v>831</v>
      </c>
      <c r="J51" s="32" t="s">
        <v>34</v>
      </c>
      <c r="K51" s="32" t="s">
        <v>714</v>
      </c>
      <c r="L51" s="32">
        <v>300.0</v>
      </c>
      <c r="M51" s="32"/>
      <c r="N51" s="32" t="s">
        <v>37</v>
      </c>
      <c r="O51" s="32" t="s">
        <v>37</v>
      </c>
      <c r="P51" s="32" t="s">
        <v>37</v>
      </c>
      <c r="Q51" s="32"/>
      <c r="R51" s="32" t="s">
        <v>38</v>
      </c>
      <c r="S51" s="32" t="s">
        <v>518</v>
      </c>
      <c r="T51" s="32"/>
      <c r="U51" s="32" t="s">
        <v>38</v>
      </c>
      <c r="V51" s="32" t="s">
        <v>34</v>
      </c>
      <c r="W51" s="32" t="s">
        <v>34</v>
      </c>
      <c r="X51" s="32" t="s">
        <v>519</v>
      </c>
      <c r="Y51" s="32" t="s">
        <v>77</v>
      </c>
      <c r="Z51" s="20">
        <v>50.0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32" t="s">
        <v>832</v>
      </c>
      <c r="B52" s="32" t="s">
        <v>511</v>
      </c>
      <c r="C52" s="32" t="s">
        <v>3426</v>
      </c>
      <c r="D52" s="121" t="s">
        <v>833</v>
      </c>
      <c r="E52" s="32">
        <v>6606693.0</v>
      </c>
      <c r="F52" s="32" t="s">
        <v>834</v>
      </c>
      <c r="G52" s="32" t="s">
        <v>835</v>
      </c>
      <c r="H52" s="32" t="s">
        <v>836</v>
      </c>
      <c r="I52" s="32" t="s">
        <v>831</v>
      </c>
      <c r="J52" s="32" t="s">
        <v>34</v>
      </c>
      <c r="K52" s="32" t="s">
        <v>543</v>
      </c>
      <c r="L52" s="32">
        <v>300.0</v>
      </c>
      <c r="M52" s="32"/>
      <c r="N52" s="32" t="s">
        <v>37</v>
      </c>
      <c r="O52" s="32" t="s">
        <v>37</v>
      </c>
      <c r="P52" s="32" t="s">
        <v>37</v>
      </c>
      <c r="Q52" s="32"/>
      <c r="R52" s="32" t="s">
        <v>38</v>
      </c>
      <c r="S52" s="32" t="s">
        <v>38</v>
      </c>
      <c r="T52" s="32"/>
      <c r="U52" s="32" t="s">
        <v>38</v>
      </c>
      <c r="V52" s="32" t="s">
        <v>34</v>
      </c>
      <c r="W52" s="32" t="s">
        <v>34</v>
      </c>
      <c r="X52" s="32" t="s">
        <v>519</v>
      </c>
      <c r="Y52" s="32" t="s">
        <v>77</v>
      </c>
      <c r="Z52" s="20">
        <v>50.0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>
      <c r="A53" s="32" t="s">
        <v>837</v>
      </c>
      <c r="B53" s="32" t="s">
        <v>511</v>
      </c>
      <c r="C53" s="32" t="s">
        <v>3425</v>
      </c>
      <c r="D53" s="121" t="s">
        <v>838</v>
      </c>
      <c r="E53" s="32">
        <v>5.5697124E7</v>
      </c>
      <c r="F53" s="32" t="s">
        <v>839</v>
      </c>
      <c r="G53" s="32" t="s">
        <v>840</v>
      </c>
      <c r="H53" s="32" t="s">
        <v>785</v>
      </c>
      <c r="I53" s="32" t="s">
        <v>831</v>
      </c>
      <c r="J53" s="32" t="s">
        <v>34</v>
      </c>
      <c r="K53" s="32" t="s">
        <v>742</v>
      </c>
      <c r="L53" s="32">
        <v>300.0</v>
      </c>
      <c r="M53" s="32"/>
      <c r="N53" s="32" t="s">
        <v>37</v>
      </c>
      <c r="O53" s="32" t="s">
        <v>37</v>
      </c>
      <c r="P53" s="32" t="s">
        <v>37</v>
      </c>
      <c r="Q53" s="32"/>
      <c r="R53" s="32" t="s">
        <v>34</v>
      </c>
      <c r="S53" s="32" t="s">
        <v>518</v>
      </c>
      <c r="T53" s="32"/>
      <c r="U53" s="32" t="s">
        <v>38</v>
      </c>
      <c r="V53" s="32" t="s">
        <v>34</v>
      </c>
      <c r="W53" s="32" t="s">
        <v>34</v>
      </c>
      <c r="X53" s="32" t="s">
        <v>640</v>
      </c>
      <c r="Y53" s="32" t="s">
        <v>841</v>
      </c>
      <c r="Z53" s="20">
        <v>80.0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>
      <c r="A54" s="20" t="s">
        <v>842</v>
      </c>
      <c r="B54" s="32" t="s">
        <v>511</v>
      </c>
      <c r="C54" s="32" t="s">
        <v>3427</v>
      </c>
      <c r="D54" s="121" t="s">
        <v>843</v>
      </c>
      <c r="E54" s="32">
        <v>5290902.0</v>
      </c>
      <c r="F54" s="32" t="s">
        <v>844</v>
      </c>
      <c r="G54" s="32" t="s">
        <v>845</v>
      </c>
      <c r="H54" s="32" t="s">
        <v>846</v>
      </c>
      <c r="I54" s="32" t="s">
        <v>611</v>
      </c>
      <c r="J54" s="32" t="s">
        <v>34</v>
      </c>
      <c r="K54" s="32" t="s">
        <v>543</v>
      </c>
      <c r="L54" s="32">
        <v>120.0</v>
      </c>
      <c r="M54" s="32"/>
      <c r="N54" s="88" t="s">
        <v>74</v>
      </c>
      <c r="O54" s="88" t="s">
        <v>74</v>
      </c>
      <c r="P54" s="32" t="s">
        <v>37</v>
      </c>
      <c r="Q54" s="32"/>
      <c r="R54" s="32" t="s">
        <v>38</v>
      </c>
      <c r="S54" s="32" t="s">
        <v>518</v>
      </c>
      <c r="T54" s="32"/>
      <c r="U54" s="32" t="s">
        <v>38</v>
      </c>
      <c r="V54" s="32" t="s">
        <v>34</v>
      </c>
      <c r="W54" s="32" t="s">
        <v>34</v>
      </c>
      <c r="X54" s="32" t="s">
        <v>519</v>
      </c>
      <c r="Y54" s="32" t="s">
        <v>77</v>
      </c>
      <c r="Z54" s="20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20" t="s">
        <v>847</v>
      </c>
      <c r="B55" s="32" t="s">
        <v>511</v>
      </c>
      <c r="C55" s="32" t="s">
        <v>3427</v>
      </c>
      <c r="D55" s="121" t="s">
        <v>848</v>
      </c>
      <c r="E55" s="32">
        <v>7442229.0</v>
      </c>
      <c r="F55" s="32" t="s">
        <v>849</v>
      </c>
      <c r="G55" s="32" t="s">
        <v>850</v>
      </c>
      <c r="H55" s="32" t="s">
        <v>851</v>
      </c>
      <c r="I55" s="32" t="s">
        <v>831</v>
      </c>
      <c r="J55" s="32" t="s">
        <v>34</v>
      </c>
      <c r="K55" s="32" t="s">
        <v>35</v>
      </c>
      <c r="L55" s="32">
        <v>415.0</v>
      </c>
      <c r="M55" s="32"/>
      <c r="N55" s="32" t="s">
        <v>37</v>
      </c>
      <c r="O55" s="32" t="s">
        <v>37</v>
      </c>
      <c r="P55" s="32" t="s">
        <v>37</v>
      </c>
      <c r="Q55" s="32"/>
      <c r="R55" s="32" t="s">
        <v>34</v>
      </c>
      <c r="S55" s="32" t="s">
        <v>518</v>
      </c>
      <c r="T55" s="32"/>
      <c r="U55" s="32" t="s">
        <v>34</v>
      </c>
      <c r="V55" s="32" t="s">
        <v>34</v>
      </c>
      <c r="W55" s="32" t="s">
        <v>34</v>
      </c>
      <c r="X55" s="32" t="s">
        <v>519</v>
      </c>
      <c r="Y55" s="32" t="s">
        <v>77</v>
      </c>
      <c r="Z55" s="20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20" t="s">
        <v>852</v>
      </c>
      <c r="B56" s="32" t="s">
        <v>511</v>
      </c>
      <c r="C56" s="32" t="s">
        <v>3427</v>
      </c>
      <c r="D56" s="121" t="s">
        <v>853</v>
      </c>
      <c r="E56" s="32">
        <v>5.3439916E7</v>
      </c>
      <c r="F56" s="32" t="s">
        <v>854</v>
      </c>
      <c r="G56" s="32" t="s">
        <v>855</v>
      </c>
      <c r="H56" s="32" t="s">
        <v>856</v>
      </c>
      <c r="I56" s="32" t="s">
        <v>632</v>
      </c>
      <c r="J56" s="32" t="s">
        <v>34</v>
      </c>
      <c r="K56" s="32" t="s">
        <v>35</v>
      </c>
      <c r="L56" s="32">
        <v>100.0</v>
      </c>
      <c r="M56" s="32"/>
      <c r="N56" s="88" t="s">
        <v>74</v>
      </c>
      <c r="O56" s="88" t="s">
        <v>74</v>
      </c>
      <c r="P56" s="88" t="s">
        <v>74</v>
      </c>
      <c r="Q56" s="32"/>
      <c r="R56" s="32" t="s">
        <v>38</v>
      </c>
      <c r="S56" s="32" t="s">
        <v>38</v>
      </c>
      <c r="T56" s="32"/>
      <c r="U56" s="32" t="s">
        <v>38</v>
      </c>
      <c r="V56" s="32" t="s">
        <v>38</v>
      </c>
      <c r="W56" s="32" t="s">
        <v>34</v>
      </c>
      <c r="X56" s="32" t="s">
        <v>519</v>
      </c>
      <c r="Y56" s="32" t="s">
        <v>857</v>
      </c>
      <c r="Z56" s="20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20" t="s">
        <v>858</v>
      </c>
      <c r="B57" s="32" t="s">
        <v>511</v>
      </c>
      <c r="C57" s="32" t="s">
        <v>3427</v>
      </c>
      <c r="D57" s="121" t="s">
        <v>859</v>
      </c>
      <c r="E57" s="32">
        <v>7422745.0</v>
      </c>
      <c r="F57" s="32" t="s">
        <v>860</v>
      </c>
      <c r="G57" s="95" t="s">
        <v>861</v>
      </c>
      <c r="H57" s="32" t="s">
        <v>862</v>
      </c>
      <c r="I57" s="32" t="s">
        <v>611</v>
      </c>
      <c r="J57" s="32" t="s">
        <v>34</v>
      </c>
      <c r="K57" s="32" t="s">
        <v>35</v>
      </c>
      <c r="L57" s="32">
        <v>100.0</v>
      </c>
      <c r="M57" s="32"/>
      <c r="N57" s="88" t="s">
        <v>74</v>
      </c>
      <c r="O57" s="88" t="s">
        <v>74</v>
      </c>
      <c r="P57" s="88" t="s">
        <v>74</v>
      </c>
      <c r="Q57" s="32"/>
      <c r="R57" s="32" t="s">
        <v>38</v>
      </c>
      <c r="S57" s="32" t="s">
        <v>38</v>
      </c>
      <c r="T57" s="32"/>
      <c r="U57" s="32" t="s">
        <v>34</v>
      </c>
      <c r="V57" s="32" t="s">
        <v>34</v>
      </c>
      <c r="W57" s="32" t="s">
        <v>34</v>
      </c>
      <c r="X57" s="32" t="s">
        <v>519</v>
      </c>
      <c r="Y57" s="32" t="s">
        <v>863</v>
      </c>
      <c r="Z57" s="20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20" t="s">
        <v>864</v>
      </c>
      <c r="B58" s="32" t="s">
        <v>511</v>
      </c>
      <c r="C58" s="32" t="s">
        <v>3427</v>
      </c>
      <c r="D58" s="121" t="s">
        <v>865</v>
      </c>
      <c r="E58" s="32">
        <v>5.6855422E7</v>
      </c>
      <c r="F58" s="32" t="s">
        <v>866</v>
      </c>
      <c r="G58" s="32" t="s">
        <v>867</v>
      </c>
      <c r="H58" s="32" t="s">
        <v>868</v>
      </c>
      <c r="I58" s="32" t="s">
        <v>534</v>
      </c>
      <c r="J58" s="32" t="s">
        <v>34</v>
      </c>
      <c r="K58" s="32" t="s">
        <v>35</v>
      </c>
      <c r="L58" s="32">
        <v>250.0</v>
      </c>
      <c r="M58" s="32"/>
      <c r="N58" s="32" t="s">
        <v>37</v>
      </c>
      <c r="O58" s="32" t="s">
        <v>37</v>
      </c>
      <c r="P58" s="32" t="s">
        <v>37</v>
      </c>
      <c r="Q58" s="32"/>
      <c r="R58" s="32" t="s">
        <v>38</v>
      </c>
      <c r="S58" s="32" t="s">
        <v>38</v>
      </c>
      <c r="T58" s="32"/>
      <c r="U58" s="32" t="s">
        <v>34</v>
      </c>
      <c r="V58" s="32" t="s">
        <v>34</v>
      </c>
      <c r="W58" s="32" t="s">
        <v>34</v>
      </c>
      <c r="X58" s="32" t="s">
        <v>519</v>
      </c>
      <c r="Y58" s="32" t="s">
        <v>863</v>
      </c>
      <c r="Z58" s="20">
        <v>50.0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20" t="s">
        <v>869</v>
      </c>
      <c r="B59" s="32" t="s">
        <v>511</v>
      </c>
      <c r="C59" s="32" t="s">
        <v>3427</v>
      </c>
      <c r="D59" s="121" t="s">
        <v>870</v>
      </c>
      <c r="E59" s="32">
        <v>7341111.0</v>
      </c>
      <c r="F59" s="32" t="s">
        <v>871</v>
      </c>
      <c r="G59" s="32" t="s">
        <v>872</v>
      </c>
      <c r="H59" s="32" t="s">
        <v>873</v>
      </c>
      <c r="I59" s="32" t="s">
        <v>632</v>
      </c>
      <c r="J59" s="32" t="s">
        <v>34</v>
      </c>
      <c r="K59" s="32" t="s">
        <v>35</v>
      </c>
      <c r="L59" s="32">
        <v>150.0</v>
      </c>
      <c r="M59" s="32"/>
      <c r="N59" s="32" t="s">
        <v>37</v>
      </c>
      <c r="O59" s="88" t="s">
        <v>74</v>
      </c>
      <c r="P59" s="88" t="s">
        <v>74</v>
      </c>
      <c r="Q59" s="32"/>
      <c r="R59" s="32" t="s">
        <v>38</v>
      </c>
      <c r="S59" s="32" t="s">
        <v>38</v>
      </c>
      <c r="T59" s="32"/>
      <c r="U59" s="32" t="s">
        <v>38</v>
      </c>
      <c r="V59" s="32" t="s">
        <v>34</v>
      </c>
      <c r="W59" s="32" t="s">
        <v>34</v>
      </c>
      <c r="X59" s="32" t="s">
        <v>519</v>
      </c>
      <c r="Y59" s="32" t="s">
        <v>874</v>
      </c>
      <c r="Z59" s="20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20" t="s">
        <v>875</v>
      </c>
      <c r="B60" s="32" t="s">
        <v>511</v>
      </c>
      <c r="C60" s="32" t="s">
        <v>3427</v>
      </c>
      <c r="D60" s="121" t="s">
        <v>876</v>
      </c>
      <c r="E60" s="32">
        <v>5.5506363E7</v>
      </c>
      <c r="F60" s="32" t="s">
        <v>877</v>
      </c>
      <c r="G60" s="32" t="s">
        <v>878</v>
      </c>
      <c r="H60" s="32" t="s">
        <v>879</v>
      </c>
      <c r="I60" s="32" t="s">
        <v>880</v>
      </c>
      <c r="J60" s="32" t="s">
        <v>34</v>
      </c>
      <c r="K60" s="32" t="s">
        <v>35</v>
      </c>
      <c r="L60" s="32">
        <v>1000.0</v>
      </c>
      <c r="M60" s="32"/>
      <c r="N60" s="32" t="s">
        <v>37</v>
      </c>
      <c r="O60" s="88" t="s">
        <v>74</v>
      </c>
      <c r="P60" s="32" t="s">
        <v>37</v>
      </c>
      <c r="Q60" s="32"/>
      <c r="R60" s="32" t="s">
        <v>38</v>
      </c>
      <c r="S60" s="32" t="s">
        <v>38</v>
      </c>
      <c r="T60" s="32"/>
      <c r="U60" s="32" t="s">
        <v>34</v>
      </c>
      <c r="V60" s="32" t="s">
        <v>34</v>
      </c>
      <c r="W60" s="32" t="s">
        <v>34</v>
      </c>
      <c r="X60" s="32" t="s">
        <v>583</v>
      </c>
      <c r="Y60" s="32" t="s">
        <v>605</v>
      </c>
      <c r="Z60" s="20">
        <v>95.0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A61" s="20" t="s">
        <v>881</v>
      </c>
      <c r="B61" s="32" t="s">
        <v>511</v>
      </c>
      <c r="C61" s="32" t="s">
        <v>3427</v>
      </c>
      <c r="D61" s="121" t="s">
        <v>882</v>
      </c>
      <c r="E61" s="32">
        <v>5.5327137E7</v>
      </c>
      <c r="F61" s="32" t="s">
        <v>883</v>
      </c>
      <c r="G61" s="32" t="s">
        <v>884</v>
      </c>
      <c r="H61" s="32" t="s">
        <v>885</v>
      </c>
      <c r="I61" s="32" t="s">
        <v>818</v>
      </c>
      <c r="J61" s="32" t="s">
        <v>34</v>
      </c>
      <c r="K61" s="32" t="s">
        <v>35</v>
      </c>
      <c r="L61" s="32">
        <v>1000.0</v>
      </c>
      <c r="M61" s="32"/>
      <c r="N61" s="32" t="s">
        <v>37</v>
      </c>
      <c r="O61" s="88" t="s">
        <v>74</v>
      </c>
      <c r="P61" s="88" t="s">
        <v>74</v>
      </c>
      <c r="Q61" s="32"/>
      <c r="R61" s="32" t="s">
        <v>38</v>
      </c>
      <c r="S61" s="32" t="s">
        <v>38</v>
      </c>
      <c r="T61" s="32"/>
      <c r="U61" s="32" t="s">
        <v>34</v>
      </c>
      <c r="V61" s="32" t="s">
        <v>34</v>
      </c>
      <c r="W61" s="32" t="s">
        <v>34</v>
      </c>
      <c r="X61" s="32" t="s">
        <v>583</v>
      </c>
      <c r="Y61" s="32" t="s">
        <v>605</v>
      </c>
      <c r="Z61" s="20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20" t="s">
        <v>886</v>
      </c>
      <c r="B62" s="32" t="s">
        <v>511</v>
      </c>
      <c r="C62" s="32" t="s">
        <v>3427</v>
      </c>
      <c r="D62" s="121" t="s">
        <v>887</v>
      </c>
      <c r="E62" s="32">
        <v>5.3422532E7</v>
      </c>
      <c r="F62" s="32" t="s">
        <v>888</v>
      </c>
      <c r="G62" s="32" t="s">
        <v>889</v>
      </c>
      <c r="H62" s="32" t="s">
        <v>890</v>
      </c>
      <c r="I62" s="32" t="s">
        <v>611</v>
      </c>
      <c r="J62" s="32" t="s">
        <v>34</v>
      </c>
      <c r="K62" s="32" t="s">
        <v>35</v>
      </c>
      <c r="L62" s="32">
        <v>150.0</v>
      </c>
      <c r="M62" s="32"/>
      <c r="N62" s="88" t="s">
        <v>74</v>
      </c>
      <c r="O62" s="88" t="s">
        <v>74</v>
      </c>
      <c r="P62" s="88" t="s">
        <v>74</v>
      </c>
      <c r="Q62" s="32"/>
      <c r="R62" s="32" t="s">
        <v>38</v>
      </c>
      <c r="S62" s="32" t="s">
        <v>38</v>
      </c>
      <c r="T62" s="32"/>
      <c r="U62" s="32" t="s">
        <v>34</v>
      </c>
      <c r="V62" s="32" t="s">
        <v>34</v>
      </c>
      <c r="W62" s="32" t="s">
        <v>34</v>
      </c>
      <c r="X62" s="32" t="s">
        <v>519</v>
      </c>
      <c r="Y62" s="32" t="s">
        <v>605</v>
      </c>
      <c r="Z62" s="20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20" t="s">
        <v>891</v>
      </c>
      <c r="B63" s="32" t="s">
        <v>511</v>
      </c>
      <c r="C63" s="32" t="s">
        <v>3427</v>
      </c>
      <c r="D63" s="121" t="s">
        <v>892</v>
      </c>
      <c r="E63" s="32">
        <v>7407950.0</v>
      </c>
      <c r="F63" s="32" t="s">
        <v>893</v>
      </c>
      <c r="G63" s="32" t="s">
        <v>894</v>
      </c>
      <c r="H63" s="32" t="s">
        <v>895</v>
      </c>
      <c r="I63" s="32" t="s">
        <v>632</v>
      </c>
      <c r="J63" s="32" t="s">
        <v>34</v>
      </c>
      <c r="K63" s="32" t="s">
        <v>35</v>
      </c>
      <c r="L63" s="32">
        <v>140.0</v>
      </c>
      <c r="M63" s="32"/>
      <c r="N63" s="32" t="s">
        <v>37</v>
      </c>
      <c r="O63" s="88" t="s">
        <v>74</v>
      </c>
      <c r="P63" s="32" t="s">
        <v>37</v>
      </c>
      <c r="Q63" s="32"/>
      <c r="R63" s="32" t="s">
        <v>38</v>
      </c>
      <c r="S63" s="32" t="s">
        <v>38</v>
      </c>
      <c r="T63" s="32"/>
      <c r="U63" s="32" t="s">
        <v>34</v>
      </c>
      <c r="V63" s="32" t="s">
        <v>34</v>
      </c>
      <c r="W63" s="32" t="s">
        <v>34</v>
      </c>
      <c r="X63" s="32" t="s">
        <v>640</v>
      </c>
      <c r="Y63" s="32" t="s">
        <v>896</v>
      </c>
      <c r="Z63" s="20">
        <v>80.0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20" t="s">
        <v>897</v>
      </c>
      <c r="B64" s="32" t="s">
        <v>511</v>
      </c>
      <c r="C64" s="32" t="s">
        <v>3427</v>
      </c>
      <c r="D64" s="121" t="s">
        <v>898</v>
      </c>
      <c r="E64" s="32">
        <v>7343664.0</v>
      </c>
      <c r="F64" s="32" t="s">
        <v>899</v>
      </c>
      <c r="G64" s="32" t="s">
        <v>900</v>
      </c>
      <c r="H64" s="32" t="s">
        <v>901</v>
      </c>
      <c r="I64" s="32" t="s">
        <v>831</v>
      </c>
      <c r="J64" s="32" t="s">
        <v>34</v>
      </c>
      <c r="K64" s="32" t="s">
        <v>35</v>
      </c>
      <c r="L64" s="32">
        <v>400.0</v>
      </c>
      <c r="M64" s="32"/>
      <c r="N64" s="32" t="s">
        <v>37</v>
      </c>
      <c r="O64" s="88" t="s">
        <v>74</v>
      </c>
      <c r="P64" s="32" t="s">
        <v>37</v>
      </c>
      <c r="Q64" s="32"/>
      <c r="R64" s="32" t="s">
        <v>38</v>
      </c>
      <c r="S64" s="32" t="s">
        <v>38</v>
      </c>
      <c r="T64" s="32"/>
      <c r="U64" s="32" t="s">
        <v>34</v>
      </c>
      <c r="V64" s="32" t="s">
        <v>34</v>
      </c>
      <c r="W64" s="32" t="s">
        <v>34</v>
      </c>
      <c r="X64" s="32" t="s">
        <v>519</v>
      </c>
      <c r="Y64" s="32" t="s">
        <v>77</v>
      </c>
      <c r="Z64" s="20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20" t="s">
        <v>902</v>
      </c>
      <c r="B65" s="32" t="s">
        <v>511</v>
      </c>
      <c r="C65" s="32" t="s">
        <v>3425</v>
      </c>
      <c r="D65" s="121" t="s">
        <v>903</v>
      </c>
      <c r="E65" s="32">
        <v>7341073.0</v>
      </c>
      <c r="F65" s="32" t="s">
        <v>904</v>
      </c>
      <c r="G65" s="32" t="s">
        <v>905</v>
      </c>
      <c r="H65" s="32" t="s">
        <v>906</v>
      </c>
      <c r="I65" s="32" t="s">
        <v>831</v>
      </c>
      <c r="J65" s="32" t="s">
        <v>34</v>
      </c>
      <c r="K65" s="32" t="s">
        <v>35</v>
      </c>
      <c r="L65" s="32">
        <v>60.0</v>
      </c>
      <c r="M65" s="32"/>
      <c r="N65" s="32" t="s">
        <v>37</v>
      </c>
      <c r="O65" s="88" t="s">
        <v>74</v>
      </c>
      <c r="P65" s="32" t="s">
        <v>37</v>
      </c>
      <c r="Q65" s="32"/>
      <c r="R65" s="32" t="s">
        <v>38</v>
      </c>
      <c r="S65" s="32" t="s">
        <v>518</v>
      </c>
      <c r="T65" s="32"/>
      <c r="U65" s="32" t="s">
        <v>38</v>
      </c>
      <c r="V65" s="32" t="s">
        <v>34</v>
      </c>
      <c r="W65" s="32" t="s">
        <v>34</v>
      </c>
      <c r="X65" s="32" t="s">
        <v>640</v>
      </c>
      <c r="Y65" s="32" t="s">
        <v>907</v>
      </c>
      <c r="Z65" s="20">
        <v>40.0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20" t="s">
        <v>908</v>
      </c>
      <c r="B66" s="32" t="s">
        <v>511</v>
      </c>
      <c r="C66" s="32" t="s">
        <v>3425</v>
      </c>
      <c r="D66" s="121" t="s">
        <v>909</v>
      </c>
      <c r="E66" s="32">
        <v>7421793.0</v>
      </c>
      <c r="F66" s="32" t="s">
        <v>910</v>
      </c>
      <c r="G66" s="32" t="s">
        <v>911</v>
      </c>
      <c r="H66" s="32" t="s">
        <v>912</v>
      </c>
      <c r="I66" s="32" t="s">
        <v>913</v>
      </c>
      <c r="J66" s="32" t="s">
        <v>34</v>
      </c>
      <c r="K66" s="32" t="s">
        <v>35</v>
      </c>
      <c r="L66" s="32">
        <v>1000.0</v>
      </c>
      <c r="M66" s="32"/>
      <c r="N66" s="32" t="s">
        <v>37</v>
      </c>
      <c r="O66" s="32" t="s">
        <v>37</v>
      </c>
      <c r="P66" s="32" t="s">
        <v>37</v>
      </c>
      <c r="Q66" s="32"/>
      <c r="R66" s="32" t="s">
        <v>34</v>
      </c>
      <c r="S66" s="32" t="s">
        <v>518</v>
      </c>
      <c r="T66" s="32"/>
      <c r="U66" s="32" t="s">
        <v>34</v>
      </c>
      <c r="V66" s="32" t="s">
        <v>34</v>
      </c>
      <c r="W66" s="32" t="s">
        <v>34</v>
      </c>
      <c r="X66" s="32" t="s">
        <v>583</v>
      </c>
      <c r="Y66" s="32" t="s">
        <v>914</v>
      </c>
      <c r="Z66" s="20">
        <v>1000.0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32" t="s">
        <v>915</v>
      </c>
      <c r="B67" s="32" t="s">
        <v>511</v>
      </c>
      <c r="C67" s="32" t="s">
        <v>3415</v>
      </c>
      <c r="D67" s="121" t="s">
        <v>916</v>
      </c>
      <c r="E67" s="32">
        <v>7448400.0</v>
      </c>
      <c r="F67" s="32" t="s">
        <v>917</v>
      </c>
      <c r="G67" s="32" t="s">
        <v>918</v>
      </c>
      <c r="H67" s="32" t="s">
        <v>919</v>
      </c>
      <c r="I67" s="32" t="s">
        <v>768</v>
      </c>
      <c r="J67" s="32" t="s">
        <v>34</v>
      </c>
      <c r="K67" s="32" t="s">
        <v>35</v>
      </c>
      <c r="L67" s="32">
        <v>1736.0</v>
      </c>
      <c r="M67" s="32"/>
      <c r="N67" s="32" t="s">
        <v>37</v>
      </c>
      <c r="O67" s="88" t="s">
        <v>74</v>
      </c>
      <c r="P67" s="32" t="s">
        <v>37</v>
      </c>
      <c r="Q67" s="32"/>
      <c r="R67" s="32" t="s">
        <v>38</v>
      </c>
      <c r="S67" s="32" t="s">
        <v>518</v>
      </c>
      <c r="T67" s="32"/>
      <c r="U67" s="32" t="s">
        <v>34</v>
      </c>
      <c r="V67" s="32" t="s">
        <v>34</v>
      </c>
      <c r="W67" s="32" t="s">
        <v>34</v>
      </c>
      <c r="X67" s="32" t="s">
        <v>583</v>
      </c>
      <c r="Y67" s="32" t="s">
        <v>591</v>
      </c>
      <c r="Z67" s="20">
        <v>100.0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A68" s="32" t="s">
        <v>920</v>
      </c>
      <c r="B68" s="32" t="s">
        <v>511</v>
      </c>
      <c r="C68" s="32" t="s">
        <v>3415</v>
      </c>
      <c r="D68" s="121" t="s">
        <v>921</v>
      </c>
      <c r="E68" s="32">
        <v>7376281.0</v>
      </c>
      <c r="F68" s="32" t="s">
        <v>922</v>
      </c>
      <c r="G68" s="32" t="s">
        <v>923</v>
      </c>
      <c r="H68" s="32" t="s">
        <v>924</v>
      </c>
      <c r="I68" s="32" t="s">
        <v>913</v>
      </c>
      <c r="J68" s="32" t="s">
        <v>34</v>
      </c>
      <c r="K68" s="32" t="s">
        <v>35</v>
      </c>
      <c r="L68" s="32">
        <v>2500.0</v>
      </c>
      <c r="M68" s="32"/>
      <c r="N68" s="32" t="s">
        <v>37</v>
      </c>
      <c r="O68" s="32" t="s">
        <v>37</v>
      </c>
      <c r="P68" s="32" t="s">
        <v>37</v>
      </c>
      <c r="Q68" s="32"/>
      <c r="R68" s="32" t="s">
        <v>38</v>
      </c>
      <c r="S68" s="32" t="s">
        <v>518</v>
      </c>
      <c r="T68" s="32"/>
      <c r="U68" s="32" t="s">
        <v>34</v>
      </c>
      <c r="V68" s="32" t="s">
        <v>34</v>
      </c>
      <c r="W68" s="32" t="s">
        <v>34</v>
      </c>
      <c r="X68" s="32" t="s">
        <v>583</v>
      </c>
      <c r="Y68" s="32" t="s">
        <v>591</v>
      </c>
      <c r="Z68" s="20">
        <v>100.0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A69" s="32" t="s">
        <v>925</v>
      </c>
      <c r="B69" s="32" t="s">
        <v>511</v>
      </c>
      <c r="C69" s="32" t="s">
        <v>250</v>
      </c>
      <c r="D69" s="121" t="s">
        <v>926</v>
      </c>
      <c r="E69" s="32">
        <v>7448408.0</v>
      </c>
      <c r="F69" s="32" t="s">
        <v>927</v>
      </c>
      <c r="G69" s="32" t="s">
        <v>928</v>
      </c>
      <c r="H69" s="32" t="s">
        <v>929</v>
      </c>
      <c r="I69" s="32" t="s">
        <v>768</v>
      </c>
      <c r="J69" s="32" t="s">
        <v>34</v>
      </c>
      <c r="K69" s="32" t="s">
        <v>543</v>
      </c>
      <c r="L69" s="32">
        <v>80.0</v>
      </c>
      <c r="M69" s="32"/>
      <c r="N69" s="32" t="s">
        <v>37</v>
      </c>
      <c r="O69" s="88" t="s">
        <v>74</v>
      </c>
      <c r="P69" s="32" t="s">
        <v>37</v>
      </c>
      <c r="Q69" s="32"/>
      <c r="R69" s="32" t="s">
        <v>38</v>
      </c>
      <c r="S69" s="32" t="s">
        <v>518</v>
      </c>
      <c r="T69" s="32"/>
      <c r="U69" s="32" t="s">
        <v>34</v>
      </c>
      <c r="V69" s="32" t="s">
        <v>34</v>
      </c>
      <c r="W69" s="32" t="s">
        <v>34</v>
      </c>
      <c r="X69" s="32" t="s">
        <v>640</v>
      </c>
      <c r="Y69" s="32" t="s">
        <v>930</v>
      </c>
      <c r="Z69" s="20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A70" s="32" t="s">
        <v>931</v>
      </c>
      <c r="B70" s="32" t="s">
        <v>511</v>
      </c>
      <c r="C70" s="32" t="s">
        <v>250</v>
      </c>
      <c r="D70" s="121" t="s">
        <v>932</v>
      </c>
      <c r="E70" s="32">
        <v>7333846.0</v>
      </c>
      <c r="F70" s="32" t="s">
        <v>922</v>
      </c>
      <c r="G70" s="32" t="s">
        <v>923</v>
      </c>
      <c r="H70" s="32" t="s">
        <v>933</v>
      </c>
      <c r="I70" s="32" t="s">
        <v>934</v>
      </c>
      <c r="J70" s="32" t="s">
        <v>38</v>
      </c>
      <c r="K70" s="32"/>
      <c r="L70" s="32"/>
      <c r="M70" s="32"/>
      <c r="N70" s="32" t="s">
        <v>37</v>
      </c>
      <c r="O70" s="88" t="s">
        <v>74</v>
      </c>
      <c r="P70" s="88" t="s">
        <v>74</v>
      </c>
      <c r="Q70" s="32"/>
      <c r="R70" s="32" t="s">
        <v>38</v>
      </c>
      <c r="S70" s="32" t="s">
        <v>38</v>
      </c>
      <c r="T70" s="32"/>
      <c r="U70" s="32" t="s">
        <v>34</v>
      </c>
      <c r="V70" s="32" t="s">
        <v>34</v>
      </c>
      <c r="W70" s="32" t="s">
        <v>34</v>
      </c>
      <c r="X70" s="32" t="s">
        <v>519</v>
      </c>
      <c r="Y70" s="32" t="s">
        <v>935</v>
      </c>
      <c r="Z70" s="20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A71" s="32" t="s">
        <v>936</v>
      </c>
      <c r="B71" s="32" t="s">
        <v>511</v>
      </c>
      <c r="C71" s="32" t="s">
        <v>262</v>
      </c>
      <c r="D71" s="87" t="s">
        <v>937</v>
      </c>
      <c r="E71" s="32">
        <v>5246146.0</v>
      </c>
      <c r="F71" s="32" t="s">
        <v>938</v>
      </c>
      <c r="G71" s="32" t="s">
        <v>939</v>
      </c>
      <c r="H71" s="32" t="s">
        <v>940</v>
      </c>
      <c r="I71" s="32" t="s">
        <v>611</v>
      </c>
      <c r="J71" s="32" t="s">
        <v>34</v>
      </c>
      <c r="K71" s="32" t="s">
        <v>35</v>
      </c>
      <c r="L71" s="32">
        <v>50.0</v>
      </c>
      <c r="M71" s="32"/>
      <c r="N71" s="32" t="s">
        <v>37</v>
      </c>
      <c r="O71" s="88" t="s">
        <v>74</v>
      </c>
      <c r="P71" s="32" t="s">
        <v>37</v>
      </c>
      <c r="Q71" s="32"/>
      <c r="R71" s="32" t="s">
        <v>38</v>
      </c>
      <c r="S71" s="32" t="s">
        <v>518</v>
      </c>
      <c r="T71" s="32"/>
      <c r="U71" s="32" t="s">
        <v>34</v>
      </c>
      <c r="V71" s="32" t="s">
        <v>34</v>
      </c>
      <c r="W71" s="32" t="s">
        <v>34</v>
      </c>
      <c r="X71" s="32" t="s">
        <v>640</v>
      </c>
      <c r="Y71" s="32" t="s">
        <v>605</v>
      </c>
      <c r="Z71" s="20">
        <v>40.0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A72" s="32" t="s">
        <v>941</v>
      </c>
      <c r="B72" s="32" t="s">
        <v>511</v>
      </c>
      <c r="C72" s="32" t="s">
        <v>262</v>
      </c>
      <c r="D72" s="87" t="s">
        <v>942</v>
      </c>
      <c r="E72" s="32">
        <v>5246146.0</v>
      </c>
      <c r="F72" s="32" t="s">
        <v>938</v>
      </c>
      <c r="G72" s="32" t="s">
        <v>939</v>
      </c>
      <c r="H72" s="32" t="s">
        <v>943</v>
      </c>
      <c r="I72" s="32" t="s">
        <v>611</v>
      </c>
      <c r="J72" s="32" t="s">
        <v>34</v>
      </c>
      <c r="K72" s="32" t="s">
        <v>543</v>
      </c>
      <c r="L72" s="32">
        <v>40.0</v>
      </c>
      <c r="M72" s="32"/>
      <c r="N72" s="32" t="s">
        <v>37</v>
      </c>
      <c r="O72" s="32" t="s">
        <v>37</v>
      </c>
      <c r="P72" s="32" t="s">
        <v>37</v>
      </c>
      <c r="Q72" s="32"/>
      <c r="R72" s="32" t="s">
        <v>38</v>
      </c>
      <c r="S72" s="32" t="s">
        <v>518</v>
      </c>
      <c r="T72" s="32"/>
      <c r="U72" s="32" t="s">
        <v>34</v>
      </c>
      <c r="V72" s="32" t="s">
        <v>34</v>
      </c>
      <c r="W72" s="32" t="s">
        <v>34</v>
      </c>
      <c r="X72" s="32" t="s">
        <v>519</v>
      </c>
      <c r="Y72" s="32" t="s">
        <v>605</v>
      </c>
      <c r="Z72" s="20">
        <v>40.0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32" t="s">
        <v>944</v>
      </c>
      <c r="B73" s="32" t="s">
        <v>511</v>
      </c>
      <c r="C73" s="32" t="s">
        <v>90</v>
      </c>
      <c r="D73" s="124" t="s">
        <v>945</v>
      </c>
      <c r="E73" s="32">
        <v>7366120.0</v>
      </c>
      <c r="F73" s="32" t="s">
        <v>946</v>
      </c>
      <c r="G73" s="32" t="s">
        <v>947</v>
      </c>
      <c r="H73" s="32" t="s">
        <v>948</v>
      </c>
      <c r="I73" s="32" t="s">
        <v>632</v>
      </c>
      <c r="J73" s="32" t="s">
        <v>34</v>
      </c>
      <c r="K73" s="32" t="s">
        <v>35</v>
      </c>
      <c r="L73" s="32">
        <v>100.0</v>
      </c>
      <c r="M73" s="32"/>
      <c r="N73" s="32" t="s">
        <v>37</v>
      </c>
      <c r="O73" s="32" t="s">
        <v>37</v>
      </c>
      <c r="P73" s="32" t="s">
        <v>37</v>
      </c>
      <c r="Q73" s="32"/>
      <c r="R73" s="32" t="s">
        <v>34</v>
      </c>
      <c r="S73" s="32" t="s">
        <v>518</v>
      </c>
      <c r="T73" s="32"/>
      <c r="U73" s="32" t="s">
        <v>34</v>
      </c>
      <c r="V73" s="32" t="s">
        <v>34</v>
      </c>
      <c r="W73" s="32" t="s">
        <v>34</v>
      </c>
      <c r="X73" s="32" t="s">
        <v>519</v>
      </c>
      <c r="Y73" s="32" t="s">
        <v>949</v>
      </c>
      <c r="Z73" s="20">
        <v>40.0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32" t="s">
        <v>950</v>
      </c>
      <c r="B74" s="32" t="s">
        <v>511</v>
      </c>
      <c r="C74" s="32" t="s">
        <v>3428</v>
      </c>
      <c r="D74" s="87" t="s">
        <v>951</v>
      </c>
      <c r="E74" s="32">
        <v>5.8541718E7</v>
      </c>
      <c r="F74" s="32" t="s">
        <v>952</v>
      </c>
      <c r="G74" s="32" t="s">
        <v>953</v>
      </c>
      <c r="H74" s="32" t="s">
        <v>906</v>
      </c>
      <c r="I74" s="32" t="s">
        <v>632</v>
      </c>
      <c r="J74" s="32" t="s">
        <v>34</v>
      </c>
      <c r="K74" s="32" t="s">
        <v>954</v>
      </c>
      <c r="L74" s="32">
        <v>100.0</v>
      </c>
      <c r="M74" s="32"/>
      <c r="N74" s="32" t="s">
        <v>37</v>
      </c>
      <c r="O74" s="32" t="s">
        <v>37</v>
      </c>
      <c r="P74" s="32" t="s">
        <v>37</v>
      </c>
      <c r="Q74" s="32"/>
      <c r="R74" s="32" t="s">
        <v>34</v>
      </c>
      <c r="S74" s="32" t="s">
        <v>955</v>
      </c>
      <c r="T74" s="32"/>
      <c r="U74" s="32" t="s">
        <v>38</v>
      </c>
      <c r="V74" s="32" t="s">
        <v>34</v>
      </c>
      <c r="W74" s="32" t="s">
        <v>34</v>
      </c>
      <c r="X74" s="32" t="s">
        <v>583</v>
      </c>
      <c r="Y74" s="32" t="s">
        <v>956</v>
      </c>
      <c r="Z74" s="20">
        <v>20.0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A75" s="32" t="s">
        <v>957</v>
      </c>
      <c r="B75" s="32" t="s">
        <v>511</v>
      </c>
      <c r="C75" s="32" t="s">
        <v>3428</v>
      </c>
      <c r="D75" s="87" t="s">
        <v>958</v>
      </c>
      <c r="E75" s="32"/>
      <c r="F75" s="32" t="s">
        <v>959</v>
      </c>
      <c r="G75" s="32" t="s">
        <v>960</v>
      </c>
      <c r="H75" s="32" t="s">
        <v>961</v>
      </c>
      <c r="I75" s="32" t="s">
        <v>569</v>
      </c>
      <c r="J75" s="32" t="s">
        <v>34</v>
      </c>
      <c r="K75" s="32" t="s">
        <v>714</v>
      </c>
      <c r="L75" s="32">
        <v>150.0</v>
      </c>
      <c r="M75" s="32"/>
      <c r="N75" s="32" t="s">
        <v>37</v>
      </c>
      <c r="O75" s="32" t="s">
        <v>37</v>
      </c>
      <c r="P75" s="32" t="s">
        <v>37</v>
      </c>
      <c r="Q75" s="32"/>
      <c r="R75" s="32" t="s">
        <v>38</v>
      </c>
      <c r="S75" s="32" t="s">
        <v>518</v>
      </c>
      <c r="T75" s="32"/>
      <c r="U75" s="32" t="s">
        <v>38</v>
      </c>
      <c r="V75" s="32" t="s">
        <v>34</v>
      </c>
      <c r="W75" s="32" t="s">
        <v>34</v>
      </c>
      <c r="X75" s="32" t="s">
        <v>519</v>
      </c>
      <c r="Y75" s="32" t="s">
        <v>77</v>
      </c>
      <c r="Z75" s="20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A76" s="32" t="s">
        <v>962</v>
      </c>
      <c r="B76" s="32" t="s">
        <v>511</v>
      </c>
      <c r="C76" s="32" t="s">
        <v>3425</v>
      </c>
      <c r="D76" s="87" t="s">
        <v>963</v>
      </c>
      <c r="E76" s="32">
        <v>6776677.0</v>
      </c>
      <c r="F76" s="32" t="s">
        <v>964</v>
      </c>
      <c r="G76" s="32" t="s">
        <v>965</v>
      </c>
      <c r="H76" s="32" t="s">
        <v>966</v>
      </c>
      <c r="I76" s="32" t="s">
        <v>556</v>
      </c>
      <c r="J76" s="32" t="s">
        <v>34</v>
      </c>
      <c r="K76" s="32" t="s">
        <v>714</v>
      </c>
      <c r="L76" s="32">
        <v>341.0</v>
      </c>
      <c r="M76" s="32"/>
      <c r="N76" s="32" t="s">
        <v>37</v>
      </c>
      <c r="O76" s="32" t="s">
        <v>37</v>
      </c>
      <c r="P76" s="32" t="s">
        <v>37</v>
      </c>
      <c r="Q76" s="32"/>
      <c r="R76" s="32" t="s">
        <v>38</v>
      </c>
      <c r="S76" s="32" t="s">
        <v>518</v>
      </c>
      <c r="T76" s="32"/>
      <c r="U76" s="32" t="s">
        <v>34</v>
      </c>
      <c r="V76" s="32" t="s">
        <v>34</v>
      </c>
      <c r="W76" s="32" t="s">
        <v>34</v>
      </c>
      <c r="X76" s="32" t="s">
        <v>546</v>
      </c>
      <c r="Y76" s="32" t="s">
        <v>77</v>
      </c>
      <c r="Z76" s="20">
        <v>60.0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A77" s="32" t="s">
        <v>967</v>
      </c>
      <c r="B77" s="32" t="s">
        <v>511</v>
      </c>
      <c r="C77" s="32" t="s">
        <v>3425</v>
      </c>
      <c r="D77" s="87" t="s">
        <v>968</v>
      </c>
      <c r="E77" s="32">
        <v>5.820666E7</v>
      </c>
      <c r="F77" s="32" t="s">
        <v>969</v>
      </c>
      <c r="G77" s="32" t="s">
        <v>970</v>
      </c>
      <c r="H77" s="32" t="s">
        <v>785</v>
      </c>
      <c r="I77" s="32" t="s">
        <v>632</v>
      </c>
      <c r="J77" s="32" t="s">
        <v>34</v>
      </c>
      <c r="K77" s="32" t="s">
        <v>35</v>
      </c>
      <c r="L77" s="32">
        <v>120.0</v>
      </c>
      <c r="M77" s="32"/>
      <c r="N77" s="32" t="s">
        <v>37</v>
      </c>
      <c r="O77" s="32" t="s">
        <v>37</v>
      </c>
      <c r="P77" s="32" t="s">
        <v>37</v>
      </c>
      <c r="Q77" s="32"/>
      <c r="R77" s="32" t="s">
        <v>38</v>
      </c>
      <c r="S77" s="32" t="s">
        <v>518</v>
      </c>
      <c r="T77" s="32"/>
      <c r="U77" s="32" t="s">
        <v>34</v>
      </c>
      <c r="V77" s="32" t="s">
        <v>34</v>
      </c>
      <c r="W77" s="32" t="s">
        <v>34</v>
      </c>
      <c r="X77" s="32" t="s">
        <v>546</v>
      </c>
      <c r="Y77" s="32" t="s">
        <v>841</v>
      </c>
      <c r="Z77" s="20">
        <v>15.0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A78" s="32" t="s">
        <v>971</v>
      </c>
      <c r="B78" s="32" t="s">
        <v>511</v>
      </c>
      <c r="C78" s="32" t="s">
        <v>332</v>
      </c>
      <c r="D78" s="121" t="s">
        <v>972</v>
      </c>
      <c r="E78" s="32">
        <v>7422952.0</v>
      </c>
      <c r="F78" s="32" t="s">
        <v>973</v>
      </c>
      <c r="G78" s="32" t="s">
        <v>974</v>
      </c>
      <c r="H78" s="32" t="s">
        <v>975</v>
      </c>
      <c r="I78" s="32" t="s">
        <v>976</v>
      </c>
      <c r="J78" s="32" t="s">
        <v>34</v>
      </c>
      <c r="K78" s="32" t="s">
        <v>543</v>
      </c>
      <c r="L78" s="32">
        <v>100.0</v>
      </c>
      <c r="M78" s="32"/>
      <c r="N78" s="32" t="s">
        <v>37</v>
      </c>
      <c r="O78" s="32" t="s">
        <v>37</v>
      </c>
      <c r="P78" s="32" t="s">
        <v>37</v>
      </c>
      <c r="Q78" s="32"/>
      <c r="R78" s="32" t="s">
        <v>38</v>
      </c>
      <c r="S78" s="32" t="s">
        <v>518</v>
      </c>
      <c r="T78" s="32"/>
      <c r="U78" s="32" t="s">
        <v>34</v>
      </c>
      <c r="V78" s="32" t="s">
        <v>34</v>
      </c>
      <c r="W78" s="32" t="s">
        <v>34</v>
      </c>
      <c r="X78" s="32" t="s">
        <v>546</v>
      </c>
      <c r="Y78" s="32" t="s">
        <v>977</v>
      </c>
      <c r="Z78" s="20">
        <v>100.0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32" t="s">
        <v>978</v>
      </c>
      <c r="B79" s="32" t="s">
        <v>511</v>
      </c>
      <c r="C79" s="32" t="s">
        <v>3429</v>
      </c>
      <c r="D79" s="121" t="s">
        <v>979</v>
      </c>
      <c r="E79" s="32">
        <v>7375385.0</v>
      </c>
      <c r="F79" s="32" t="s">
        <v>980</v>
      </c>
      <c r="G79" s="32" t="s">
        <v>981</v>
      </c>
      <c r="H79" s="32" t="s">
        <v>982</v>
      </c>
      <c r="I79" s="32" t="s">
        <v>569</v>
      </c>
      <c r="J79" s="32" t="s">
        <v>34</v>
      </c>
      <c r="K79" s="32" t="s">
        <v>35</v>
      </c>
      <c r="L79" s="32">
        <v>50.0</v>
      </c>
      <c r="M79" s="32"/>
      <c r="N79" s="88" t="s">
        <v>74</v>
      </c>
      <c r="O79" s="88" t="s">
        <v>74</v>
      </c>
      <c r="P79" s="32" t="s">
        <v>37</v>
      </c>
      <c r="Q79" s="32"/>
      <c r="R79" s="32" t="s">
        <v>38</v>
      </c>
      <c r="S79" s="32" t="s">
        <v>38</v>
      </c>
      <c r="T79" s="32"/>
      <c r="U79" s="32" t="s">
        <v>34</v>
      </c>
      <c r="V79" s="32" t="s">
        <v>34</v>
      </c>
      <c r="W79" s="32" t="s">
        <v>34</v>
      </c>
      <c r="X79" s="32" t="s">
        <v>519</v>
      </c>
      <c r="Y79" s="32" t="s">
        <v>983</v>
      </c>
      <c r="Z79" s="20">
        <v>20.0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A80" s="32" t="s">
        <v>984</v>
      </c>
      <c r="B80" s="32" t="s">
        <v>511</v>
      </c>
      <c r="C80" s="32" t="s">
        <v>3430</v>
      </c>
      <c r="D80" s="121" t="s">
        <v>985</v>
      </c>
      <c r="E80" s="32">
        <v>5.3552518E7</v>
      </c>
      <c r="F80" s="32" t="s">
        <v>986</v>
      </c>
      <c r="G80" s="32" t="s">
        <v>987</v>
      </c>
      <c r="H80" s="32" t="s">
        <v>988</v>
      </c>
      <c r="I80" s="32" t="s">
        <v>632</v>
      </c>
      <c r="J80" s="32" t="s">
        <v>34</v>
      </c>
      <c r="K80" s="32" t="s">
        <v>35</v>
      </c>
      <c r="L80" s="32">
        <v>120.0</v>
      </c>
      <c r="M80" s="32"/>
      <c r="N80" s="32" t="s">
        <v>37</v>
      </c>
      <c r="O80" s="32" t="s">
        <v>37</v>
      </c>
      <c r="P80" s="32" t="s">
        <v>37</v>
      </c>
      <c r="Q80" s="32"/>
      <c r="R80" s="32" t="s">
        <v>38</v>
      </c>
      <c r="S80" s="32" t="s">
        <v>518</v>
      </c>
      <c r="T80" s="32"/>
      <c r="U80" s="32" t="s">
        <v>34</v>
      </c>
      <c r="V80" s="32" t="s">
        <v>34</v>
      </c>
      <c r="W80" s="32" t="s">
        <v>34</v>
      </c>
      <c r="X80" s="32" t="s">
        <v>583</v>
      </c>
      <c r="Y80" s="32" t="s">
        <v>77</v>
      </c>
      <c r="Z80" s="20">
        <v>12.0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A81" s="32" t="s">
        <v>989</v>
      </c>
      <c r="B81" s="32" t="s">
        <v>511</v>
      </c>
      <c r="C81" s="32" t="s">
        <v>3431</v>
      </c>
      <c r="D81" s="87" t="s">
        <v>990</v>
      </c>
      <c r="E81" s="32">
        <v>5.3324145E7</v>
      </c>
      <c r="F81" s="32" t="s">
        <v>991</v>
      </c>
      <c r="G81" s="32" t="s">
        <v>992</v>
      </c>
      <c r="H81" s="32" t="s">
        <v>993</v>
      </c>
      <c r="I81" s="32" t="s">
        <v>831</v>
      </c>
      <c r="J81" s="32" t="s">
        <v>34</v>
      </c>
      <c r="K81" s="32" t="s">
        <v>35</v>
      </c>
      <c r="L81" s="32">
        <v>376.0</v>
      </c>
      <c r="M81" s="32"/>
      <c r="N81" s="32" t="s">
        <v>37</v>
      </c>
      <c r="O81" s="88" t="s">
        <v>74</v>
      </c>
      <c r="P81" s="32" t="s">
        <v>37</v>
      </c>
      <c r="Q81" s="32"/>
      <c r="R81" s="32" t="s">
        <v>38</v>
      </c>
      <c r="S81" s="32" t="s">
        <v>518</v>
      </c>
      <c r="T81" s="32"/>
      <c r="U81" s="32" t="s">
        <v>34</v>
      </c>
      <c r="V81" s="32" t="s">
        <v>34</v>
      </c>
      <c r="W81" s="32" t="s">
        <v>34</v>
      </c>
      <c r="X81" s="32" t="s">
        <v>583</v>
      </c>
      <c r="Y81" s="32" t="s">
        <v>605</v>
      </c>
      <c r="Z81" s="20">
        <v>100.0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A82" s="32" t="s">
        <v>994</v>
      </c>
      <c r="B82" s="32" t="s">
        <v>511</v>
      </c>
      <c r="C82" s="32" t="s">
        <v>3431</v>
      </c>
      <c r="D82" s="121" t="s">
        <v>995</v>
      </c>
      <c r="E82" s="32">
        <v>5.883466E7</v>
      </c>
      <c r="F82" s="32" t="s">
        <v>996</v>
      </c>
      <c r="G82" s="32" t="s">
        <v>997</v>
      </c>
      <c r="H82" s="32" t="s">
        <v>998</v>
      </c>
      <c r="I82" s="32" t="s">
        <v>556</v>
      </c>
      <c r="J82" s="32" t="s">
        <v>34</v>
      </c>
      <c r="K82" s="32" t="s">
        <v>35</v>
      </c>
      <c r="L82" s="32">
        <v>600.0</v>
      </c>
      <c r="M82" s="32"/>
      <c r="N82" s="88" t="s">
        <v>74</v>
      </c>
      <c r="O82" s="88" t="s">
        <v>74</v>
      </c>
      <c r="P82" s="88" t="s">
        <v>74</v>
      </c>
      <c r="Q82" s="32"/>
      <c r="R82" s="32" t="s">
        <v>38</v>
      </c>
      <c r="S82" s="32" t="s">
        <v>518</v>
      </c>
      <c r="T82" s="32"/>
      <c r="U82" s="32" t="s">
        <v>34</v>
      </c>
      <c r="V82" s="32" t="s">
        <v>34</v>
      </c>
      <c r="W82" s="32" t="s">
        <v>34</v>
      </c>
      <c r="X82" s="32" t="s">
        <v>640</v>
      </c>
      <c r="Y82" s="32" t="s">
        <v>857</v>
      </c>
      <c r="Z82" s="20">
        <v>25.0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32" t="s">
        <v>999</v>
      </c>
      <c r="B83" s="32" t="s">
        <v>511</v>
      </c>
      <c r="C83" s="32" t="s">
        <v>3431</v>
      </c>
      <c r="D83" s="124" t="s">
        <v>1000</v>
      </c>
      <c r="E83" s="32">
        <v>5.1911122E7</v>
      </c>
      <c r="F83" s="32" t="s">
        <v>1001</v>
      </c>
      <c r="G83" s="32" t="s">
        <v>1002</v>
      </c>
      <c r="H83" s="32" t="s">
        <v>1003</v>
      </c>
      <c r="I83" s="32" t="s">
        <v>632</v>
      </c>
      <c r="J83" s="32" t="s">
        <v>34</v>
      </c>
      <c r="K83" s="32" t="s">
        <v>543</v>
      </c>
      <c r="L83" s="32">
        <v>120.0</v>
      </c>
      <c r="M83" s="32"/>
      <c r="N83" s="32" t="s">
        <v>37</v>
      </c>
      <c r="O83" s="88" t="s">
        <v>74</v>
      </c>
      <c r="P83" s="88" t="s">
        <v>74</v>
      </c>
      <c r="Q83" s="32"/>
      <c r="R83" s="32" t="s">
        <v>38</v>
      </c>
      <c r="S83" s="32" t="s">
        <v>518</v>
      </c>
      <c r="T83" s="32"/>
      <c r="U83" s="32" t="s">
        <v>38</v>
      </c>
      <c r="V83" s="32" t="s">
        <v>34</v>
      </c>
      <c r="W83" s="32" t="s">
        <v>34</v>
      </c>
      <c r="X83" s="32" t="s">
        <v>640</v>
      </c>
      <c r="Y83" s="32" t="s">
        <v>1004</v>
      </c>
      <c r="Z83" s="20">
        <v>100.0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32" t="s">
        <v>1005</v>
      </c>
      <c r="B84" s="32" t="s">
        <v>511</v>
      </c>
      <c r="C84" s="32" t="s">
        <v>3430</v>
      </c>
      <c r="D84" s="121" t="s">
        <v>1006</v>
      </c>
      <c r="E84" s="32">
        <v>5518386.0</v>
      </c>
      <c r="F84" s="32" t="s">
        <v>1007</v>
      </c>
      <c r="G84" s="32" t="s">
        <v>1008</v>
      </c>
      <c r="H84" s="32" t="s">
        <v>1009</v>
      </c>
      <c r="I84" s="32" t="s">
        <v>735</v>
      </c>
      <c r="J84" s="32" t="s">
        <v>34</v>
      </c>
      <c r="K84" s="32" t="s">
        <v>35</v>
      </c>
      <c r="L84" s="32">
        <v>250.0</v>
      </c>
      <c r="M84" s="32"/>
      <c r="N84" s="32" t="s">
        <v>37</v>
      </c>
      <c r="O84" s="32" t="s">
        <v>37</v>
      </c>
      <c r="P84" s="32" t="s">
        <v>37</v>
      </c>
      <c r="Q84" s="32"/>
      <c r="R84" s="32" t="s">
        <v>38</v>
      </c>
      <c r="S84" s="32" t="s">
        <v>518</v>
      </c>
      <c r="T84" s="32"/>
      <c r="U84" s="32" t="s">
        <v>34</v>
      </c>
      <c r="V84" s="32" t="s">
        <v>34</v>
      </c>
      <c r="W84" s="32" t="s">
        <v>34</v>
      </c>
      <c r="X84" s="32" t="s">
        <v>583</v>
      </c>
      <c r="Y84" s="32" t="s">
        <v>1010</v>
      </c>
      <c r="Z84" s="20">
        <v>70.0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2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2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2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2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2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2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2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2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2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2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2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2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2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2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2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2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2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2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2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2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2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2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2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2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2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2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2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2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2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2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2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2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2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2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2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2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2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2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2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2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2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2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2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2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2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2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2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2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2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2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2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2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2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2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2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2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2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2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2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2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2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2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2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2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2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2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2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2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2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2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2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2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2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2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2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2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2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2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2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2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2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2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2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2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2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2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2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2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2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2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2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2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2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2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2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2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2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2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2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2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2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2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2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2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2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2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2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2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2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2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2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2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2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2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2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2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2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2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2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2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2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2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2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2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2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2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2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2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2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2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2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2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2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2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2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2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2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2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2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2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2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2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2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2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2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2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2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2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2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2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2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2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2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2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2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2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2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2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2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2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2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2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2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2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2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2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2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2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2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2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2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2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2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2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2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2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2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2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2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2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2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2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2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2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2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2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2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2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2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2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2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2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2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2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2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2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2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2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2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2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2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2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2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2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2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2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2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2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2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2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2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2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2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2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2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2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2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2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2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2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2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2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2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2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2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2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2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2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2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2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2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2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2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2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2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2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2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2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2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2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2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2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2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2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2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2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2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2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2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2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2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2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2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2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2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2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2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2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2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2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2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2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2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2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2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2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2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2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2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2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2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2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2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2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2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2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2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2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2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2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2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2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2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2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2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2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2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2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2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2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2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2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2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2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2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2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2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2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2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2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2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2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2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2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2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2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2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2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2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2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2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2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2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2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2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2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2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2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2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2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2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2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2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2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2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2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2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2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2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2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2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2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2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2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2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2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2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2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2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2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2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2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2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2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2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2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2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2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2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2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2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2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2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2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2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2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2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2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2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2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2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2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2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2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2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2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2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2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2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2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2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2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2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2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2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2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2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2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2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2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2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2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2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2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2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2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2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2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2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2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2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2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2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2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2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2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2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2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2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2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2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2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2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2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2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2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2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2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2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2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2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2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2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2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2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2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2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2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2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2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2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2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2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2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2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2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2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2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2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2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2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2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2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2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2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2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2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2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2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2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2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2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2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2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2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2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2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2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2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2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2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2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2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2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2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2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2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2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2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2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2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2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2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2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2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2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2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2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2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2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2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2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2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2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2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2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2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2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2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2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2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2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2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2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2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2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2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2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2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2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2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2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2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2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2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2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2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2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2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2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2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2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2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2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2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2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2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2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2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2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2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2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2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2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2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2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2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2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2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2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2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2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2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2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2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2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2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2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2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2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2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2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2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2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2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2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2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2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2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2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2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2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2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2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2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2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2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2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2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2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2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2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2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2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2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2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2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2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2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2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2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2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2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2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2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2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2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2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2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2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2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2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2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2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2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2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2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2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2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2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2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2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2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2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2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2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2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2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2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2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2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2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2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2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2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2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2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2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2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2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2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2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2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2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2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2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2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2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2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2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2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2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2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2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2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2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2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2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2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2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2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2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2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2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2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2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2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2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2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2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2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2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2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2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2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2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2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2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2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2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2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2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2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2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2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2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2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2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2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2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2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2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2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2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2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2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2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2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2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2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2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2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2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2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2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2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2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2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2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2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2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2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2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2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2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2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2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2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2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2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2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2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2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2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2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2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2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2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2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2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2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2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2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2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2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2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2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2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2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2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2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2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2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2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2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2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2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2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2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2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2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2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2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2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2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2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2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2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2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2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2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2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2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2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2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2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2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2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2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2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2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2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2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2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2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2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2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2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2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2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2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2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2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2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2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2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2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2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2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2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2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2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2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2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2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2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2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2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2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2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2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2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2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2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2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2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2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2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2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2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2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2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2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2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2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2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2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2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2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2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2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2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2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2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2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2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2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2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2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2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2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2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2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2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2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2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2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2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2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2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2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2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2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2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2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2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2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2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2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2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2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2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2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2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2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2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2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2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2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2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2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2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2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2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2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2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2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2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2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2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2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2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2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2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2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2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2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2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2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2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2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2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2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2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2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2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2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2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2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2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2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2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2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2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2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2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2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2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2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2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2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2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2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2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2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2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2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2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2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2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2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2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2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2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2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2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2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2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2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2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2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2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2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2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2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2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2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2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2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2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2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2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2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2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2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2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2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2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2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2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2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2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2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2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2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</hyperlinks>
  <drawing r:id="rId8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1.29"/>
    <col customWidth="1" min="3" max="3" width="12.0"/>
    <col customWidth="1" min="4" max="4" width="50.0"/>
    <col customWidth="1" min="5" max="5" width="17.29"/>
    <col customWidth="1" min="6" max="6" width="51.43"/>
    <col customWidth="1" min="7" max="7" width="19.43"/>
    <col customWidth="1" min="8" max="8" width="49.14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80" t="s">
        <v>0</v>
      </c>
      <c r="B1" s="80" t="s">
        <v>1</v>
      </c>
      <c r="C1" s="80" t="s">
        <v>2</v>
      </c>
      <c r="D1" s="81" t="s">
        <v>3</v>
      </c>
      <c r="E1" s="80" t="s">
        <v>4</v>
      </c>
      <c r="F1" s="80" t="s">
        <v>25</v>
      </c>
      <c r="G1" s="80" t="s">
        <v>6</v>
      </c>
      <c r="H1" s="80" t="s">
        <v>7</v>
      </c>
      <c r="I1" s="80" t="s">
        <v>8</v>
      </c>
      <c r="J1" s="80" t="s">
        <v>9</v>
      </c>
      <c r="K1" s="82" t="s">
        <v>10</v>
      </c>
      <c r="L1" s="80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3" t="s">
        <v>19</v>
      </c>
      <c r="U1" s="120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93"/>
      <c r="AA1" s="40"/>
    </row>
    <row r="2">
      <c r="A2" s="32" t="s">
        <v>1011</v>
      </c>
      <c r="B2" s="32" t="s">
        <v>1012</v>
      </c>
      <c r="C2" s="32" t="s">
        <v>112</v>
      </c>
      <c r="D2" s="87" t="s">
        <v>1013</v>
      </c>
      <c r="E2" s="32" t="s">
        <v>1014</v>
      </c>
      <c r="F2" s="32" t="s">
        <v>1015</v>
      </c>
      <c r="G2" s="32" t="s">
        <v>1016</v>
      </c>
      <c r="H2" s="32" t="s">
        <v>1017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44"/>
    </row>
    <row r="3">
      <c r="A3" s="32" t="s">
        <v>1018</v>
      </c>
      <c r="B3" s="32" t="s">
        <v>1012</v>
      </c>
      <c r="C3" s="32" t="s">
        <v>112</v>
      </c>
      <c r="D3" s="87" t="s">
        <v>1019</v>
      </c>
      <c r="E3" s="32" t="s">
        <v>1020</v>
      </c>
      <c r="F3" s="32" t="s">
        <v>1021</v>
      </c>
      <c r="G3" s="32" t="s">
        <v>1022</v>
      </c>
      <c r="H3" s="32" t="s">
        <v>1023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44"/>
    </row>
    <row r="4">
      <c r="A4" s="32" t="s">
        <v>1024</v>
      </c>
      <c r="B4" s="32" t="s">
        <v>1012</v>
      </c>
      <c r="C4" s="32" t="s">
        <v>112</v>
      </c>
      <c r="D4" s="87" t="s">
        <v>1025</v>
      </c>
      <c r="E4" s="32" t="s">
        <v>1026</v>
      </c>
      <c r="F4" s="32" t="s">
        <v>1027</v>
      </c>
      <c r="G4" s="32" t="s">
        <v>1028</v>
      </c>
      <c r="H4" s="32" t="s">
        <v>1029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44"/>
    </row>
    <row r="5">
      <c r="A5" s="32" t="s">
        <v>1030</v>
      </c>
      <c r="B5" s="32" t="s">
        <v>1012</v>
      </c>
      <c r="C5" s="32" t="s">
        <v>112</v>
      </c>
      <c r="D5" s="87" t="s">
        <v>1031</v>
      </c>
      <c r="E5" s="32" t="s">
        <v>1032</v>
      </c>
      <c r="F5" s="32" t="s">
        <v>1033</v>
      </c>
      <c r="G5" s="32" t="s">
        <v>1034</v>
      </c>
      <c r="H5" s="32" t="s">
        <v>1035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44"/>
    </row>
    <row r="6">
      <c r="A6" s="32" t="s">
        <v>1036</v>
      </c>
      <c r="B6" s="32" t="s">
        <v>1012</v>
      </c>
      <c r="C6" s="32" t="s">
        <v>112</v>
      </c>
      <c r="D6" s="87" t="s">
        <v>1037</v>
      </c>
      <c r="E6" s="32" t="s">
        <v>1038</v>
      </c>
      <c r="F6" s="32" t="s">
        <v>1039</v>
      </c>
      <c r="G6" s="32" t="s">
        <v>1040</v>
      </c>
      <c r="H6" s="32" t="s">
        <v>1041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>
      <c r="A7" s="32" t="s">
        <v>1042</v>
      </c>
      <c r="B7" s="32" t="s">
        <v>1012</v>
      </c>
      <c r="C7" s="32" t="s">
        <v>112</v>
      </c>
      <c r="D7" s="87" t="s">
        <v>1043</v>
      </c>
      <c r="E7" s="32" t="s">
        <v>1044</v>
      </c>
      <c r="F7" s="32" t="s">
        <v>1045</v>
      </c>
      <c r="G7" s="32" t="s">
        <v>1046</v>
      </c>
      <c r="H7" s="32" t="s">
        <v>1047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>
      <c r="A8" s="32" t="s">
        <v>1048</v>
      </c>
      <c r="B8" s="32" t="s">
        <v>1012</v>
      </c>
      <c r="C8" s="32" t="s">
        <v>112</v>
      </c>
      <c r="D8" s="87" t="s">
        <v>1049</v>
      </c>
      <c r="E8" s="32" t="s">
        <v>1050</v>
      </c>
      <c r="F8" s="32" t="s">
        <v>1051</v>
      </c>
      <c r="G8" s="32" t="s">
        <v>1052</v>
      </c>
      <c r="H8" s="32" t="s">
        <v>1053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>
      <c r="A9" s="32" t="s">
        <v>1054</v>
      </c>
      <c r="B9" s="32" t="s">
        <v>1012</v>
      </c>
      <c r="C9" s="32" t="s">
        <v>112</v>
      </c>
      <c r="D9" s="87" t="s">
        <v>1055</v>
      </c>
      <c r="E9" s="32" t="s">
        <v>1056</v>
      </c>
      <c r="F9" s="32" t="s">
        <v>1057</v>
      </c>
      <c r="G9" s="32" t="s">
        <v>1058</v>
      </c>
      <c r="H9" s="32" t="s">
        <v>1059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2" t="s">
        <v>1060</v>
      </c>
      <c r="B10" s="32" t="s">
        <v>1012</v>
      </c>
      <c r="C10" s="32" t="s">
        <v>112</v>
      </c>
      <c r="D10" s="87" t="s">
        <v>1061</v>
      </c>
      <c r="E10" s="32" t="s">
        <v>1062</v>
      </c>
      <c r="F10" s="32" t="s">
        <v>1063</v>
      </c>
      <c r="G10" s="32" t="s">
        <v>1064</v>
      </c>
      <c r="H10" s="32" t="s">
        <v>1065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>
      <c r="A11" s="32" t="s">
        <v>1066</v>
      </c>
      <c r="B11" s="32" t="s">
        <v>1012</v>
      </c>
      <c r="C11" s="32" t="s">
        <v>112</v>
      </c>
      <c r="D11" s="87" t="s">
        <v>1067</v>
      </c>
      <c r="E11" s="32" t="s">
        <v>1068</v>
      </c>
      <c r="F11" s="32" t="s">
        <v>1069</v>
      </c>
      <c r="G11" s="32" t="s">
        <v>1070</v>
      </c>
      <c r="H11" s="32" t="s">
        <v>1071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>
      <c r="A12" s="32" t="s">
        <v>1072</v>
      </c>
      <c r="B12" s="32" t="s">
        <v>1012</v>
      </c>
      <c r="C12" s="32" t="s">
        <v>3357</v>
      </c>
      <c r="D12" s="84" t="s">
        <v>1073</v>
      </c>
      <c r="E12" s="32" t="s">
        <v>1074</v>
      </c>
      <c r="F12" s="32" t="s">
        <v>1075</v>
      </c>
      <c r="G12" s="32" t="s">
        <v>1076</v>
      </c>
      <c r="H12" s="32" t="s">
        <v>1077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>
      <c r="A13" s="32" t="s">
        <v>1078</v>
      </c>
      <c r="B13" s="32" t="s">
        <v>1012</v>
      </c>
      <c r="C13" s="32" t="s">
        <v>3357</v>
      </c>
      <c r="D13" s="87" t="s">
        <v>1079</v>
      </c>
      <c r="E13" s="32" t="s">
        <v>1080</v>
      </c>
      <c r="F13" s="32" t="s">
        <v>1081</v>
      </c>
      <c r="G13" s="32" t="s">
        <v>1082</v>
      </c>
      <c r="H13" s="32" t="s">
        <v>1083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>
      <c r="A14" s="32" t="s">
        <v>1084</v>
      </c>
      <c r="B14" s="32" t="s">
        <v>1012</v>
      </c>
      <c r="C14" s="32" t="s">
        <v>3360</v>
      </c>
      <c r="D14" s="87" t="s">
        <v>1085</v>
      </c>
      <c r="E14" s="32" t="s">
        <v>1086</v>
      </c>
      <c r="F14" s="32" t="s">
        <v>1087</v>
      </c>
      <c r="G14" s="32" t="s">
        <v>1088</v>
      </c>
      <c r="H14" s="32" t="s">
        <v>1089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>
      <c r="A15" s="32" t="s">
        <v>1090</v>
      </c>
      <c r="B15" s="32" t="s">
        <v>1012</v>
      </c>
      <c r="C15" s="32" t="s">
        <v>211</v>
      </c>
      <c r="D15" s="84"/>
      <c r="E15" s="32" t="s">
        <v>1091</v>
      </c>
      <c r="F15" s="32" t="s">
        <v>1092</v>
      </c>
      <c r="G15" s="32"/>
      <c r="H15" s="32" t="s">
        <v>1053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2" t="s">
        <v>1093</v>
      </c>
      <c r="B16" s="32" t="s">
        <v>1012</v>
      </c>
      <c r="C16" s="32" t="s">
        <v>211</v>
      </c>
      <c r="D16" s="87" t="s">
        <v>1094</v>
      </c>
      <c r="E16" s="32" t="s">
        <v>1095</v>
      </c>
      <c r="F16" s="32" t="s">
        <v>1096</v>
      </c>
      <c r="G16" s="32" t="s">
        <v>1097</v>
      </c>
      <c r="H16" s="32" t="s">
        <v>1098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>
      <c r="A17" s="32" t="s">
        <v>1099</v>
      </c>
      <c r="B17" s="32" t="s">
        <v>1012</v>
      </c>
      <c r="C17" s="32" t="s">
        <v>262</v>
      </c>
      <c r="D17" s="87" t="s">
        <v>1100</v>
      </c>
      <c r="E17" s="32" t="s">
        <v>1101</v>
      </c>
      <c r="F17" s="32" t="s">
        <v>1102</v>
      </c>
      <c r="G17" s="32" t="s">
        <v>1103</v>
      </c>
      <c r="H17" s="32" t="s">
        <v>1089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>
      <c r="A18" s="32" t="s">
        <v>1104</v>
      </c>
      <c r="B18" s="32" t="s">
        <v>1012</v>
      </c>
      <c r="C18" s="32" t="s">
        <v>262</v>
      </c>
      <c r="D18" s="87" t="s">
        <v>1105</v>
      </c>
      <c r="E18" s="32" t="s">
        <v>1106</v>
      </c>
      <c r="F18" s="32" t="s">
        <v>1107</v>
      </c>
      <c r="G18" s="32" t="s">
        <v>1108</v>
      </c>
      <c r="H18" s="32" t="s">
        <v>1109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>
      <c r="A19" s="32" t="s">
        <v>1110</v>
      </c>
      <c r="B19" s="32" t="s">
        <v>1012</v>
      </c>
      <c r="C19" s="32" t="s">
        <v>262</v>
      </c>
      <c r="D19" s="87" t="s">
        <v>1111</v>
      </c>
      <c r="E19" s="32" t="s">
        <v>1112</v>
      </c>
      <c r="F19" s="32" t="s">
        <v>1113</v>
      </c>
      <c r="G19" s="32" t="s">
        <v>1114</v>
      </c>
      <c r="H19" s="32" t="s">
        <v>1053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>
      <c r="A20" s="32" t="s">
        <v>1115</v>
      </c>
      <c r="B20" s="32" t="s">
        <v>1012</v>
      </c>
      <c r="C20" s="32" t="s">
        <v>262</v>
      </c>
      <c r="D20" s="87" t="s">
        <v>1116</v>
      </c>
      <c r="E20" s="32" t="s">
        <v>1117</v>
      </c>
      <c r="F20" s="32" t="s">
        <v>1118</v>
      </c>
      <c r="G20" s="32" t="s">
        <v>1119</v>
      </c>
      <c r="H20" s="32" t="s">
        <v>1120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>
      <c r="A21" s="32" t="s">
        <v>1121</v>
      </c>
      <c r="B21" s="32" t="s">
        <v>1012</v>
      </c>
      <c r="C21" s="32" t="s">
        <v>3407</v>
      </c>
      <c r="D21" s="87" t="s">
        <v>1122</v>
      </c>
      <c r="E21" s="32" t="s">
        <v>1123</v>
      </c>
      <c r="F21" s="32" t="s">
        <v>1124</v>
      </c>
      <c r="G21" s="32" t="s">
        <v>1125</v>
      </c>
      <c r="H21" s="32" t="s">
        <v>1126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>
      <c r="A22" s="32" t="s">
        <v>1128</v>
      </c>
      <c r="B22" s="32" t="s">
        <v>1012</v>
      </c>
      <c r="C22" s="32" t="s">
        <v>3407</v>
      </c>
      <c r="D22" s="84"/>
      <c r="E22" s="32" t="s">
        <v>1129</v>
      </c>
      <c r="F22" s="32" t="s">
        <v>1130</v>
      </c>
      <c r="G22" s="32" t="s">
        <v>1131</v>
      </c>
      <c r="H22" s="32" t="s">
        <v>1132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>
      <c r="A23" s="32" t="s">
        <v>1133</v>
      </c>
      <c r="B23" s="32" t="s">
        <v>1012</v>
      </c>
      <c r="C23" s="32" t="s">
        <v>3407</v>
      </c>
      <c r="D23" s="87" t="s">
        <v>1134</v>
      </c>
      <c r="E23" s="85">
        <v>5118783.0</v>
      </c>
      <c r="F23" s="32" t="s">
        <v>1135</v>
      </c>
      <c r="G23" s="32"/>
      <c r="H23" s="85" t="s">
        <v>1136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32" t="s">
        <v>1137</v>
      </c>
      <c r="B24" s="32" t="s">
        <v>1012</v>
      </c>
      <c r="C24" s="32" t="s">
        <v>388</v>
      </c>
      <c r="D24" s="84"/>
      <c r="E24" s="85"/>
      <c r="F24" s="32"/>
      <c r="G24" s="32"/>
      <c r="H24" s="85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>
      <c r="A25" s="32" t="s">
        <v>1138</v>
      </c>
      <c r="B25" s="32" t="s">
        <v>1012</v>
      </c>
      <c r="C25" s="32" t="s">
        <v>250</v>
      </c>
      <c r="D25" s="84"/>
      <c r="E25" s="85" t="s">
        <v>1123</v>
      </c>
      <c r="F25" s="32" t="s">
        <v>1124</v>
      </c>
      <c r="G25" s="32" t="s">
        <v>1125</v>
      </c>
      <c r="H25" s="85" t="s">
        <v>1126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>
      <c r="A26" s="32" t="s">
        <v>1139</v>
      </c>
      <c r="B26" s="32" t="s">
        <v>1012</v>
      </c>
      <c r="C26" s="32" t="s">
        <v>250</v>
      </c>
      <c r="D26" s="87" t="s">
        <v>1140</v>
      </c>
      <c r="E26" s="32">
        <f>3725118783</f>
        <v>3725118783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>
      <c r="A27" s="32" t="s">
        <v>1141</v>
      </c>
      <c r="B27" s="32" t="s">
        <v>1012</v>
      </c>
      <c r="C27" s="32" t="s">
        <v>250</v>
      </c>
      <c r="D27" s="84"/>
      <c r="E27" s="32">
        <f>+3725118783</f>
        <v>3725118783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>
      <c r="A28" s="32" t="s">
        <v>1142</v>
      </c>
      <c r="B28" s="32" t="s">
        <v>1012</v>
      </c>
      <c r="C28" s="32" t="s">
        <v>250</v>
      </c>
      <c r="D28" s="84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32" t="s">
        <v>1143</v>
      </c>
      <c r="B29" s="32" t="s">
        <v>1012</v>
      </c>
      <c r="C29" s="32" t="s">
        <v>90</v>
      </c>
      <c r="D29" s="87" t="s">
        <v>1144</v>
      </c>
      <c r="E29" s="32">
        <v>7353138.0</v>
      </c>
      <c r="F29" s="32" t="s">
        <v>1039</v>
      </c>
      <c r="G29" s="32"/>
      <c r="H29" s="32" t="s">
        <v>1145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>
      <c r="A30" s="32" t="s">
        <v>1146</v>
      </c>
      <c r="B30" s="32" t="s">
        <v>1012</v>
      </c>
      <c r="C30" s="32" t="s">
        <v>585</v>
      </c>
      <c r="D30" s="87" t="s">
        <v>1147</v>
      </c>
      <c r="E30" s="32" t="s">
        <v>1148</v>
      </c>
      <c r="F30" s="32" t="s">
        <v>1149</v>
      </c>
      <c r="G30" s="32"/>
      <c r="H30" s="32" t="s">
        <v>1150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>
      <c r="D31" s="126"/>
    </row>
    <row r="32">
      <c r="D32" s="126"/>
    </row>
    <row r="33">
      <c r="D33" s="126"/>
    </row>
    <row r="34">
      <c r="D34" s="126"/>
    </row>
    <row r="35">
      <c r="D35" s="126"/>
    </row>
    <row r="36">
      <c r="D36" s="126"/>
    </row>
    <row r="37">
      <c r="D37" s="126"/>
    </row>
    <row r="38">
      <c r="D38" s="126"/>
    </row>
    <row r="39">
      <c r="D39" s="126"/>
    </row>
    <row r="40">
      <c r="D40" s="126"/>
    </row>
    <row r="41">
      <c r="D41" s="126"/>
    </row>
    <row r="42">
      <c r="D42" s="126"/>
    </row>
    <row r="43">
      <c r="D43" s="126"/>
    </row>
    <row r="44">
      <c r="D44" s="126"/>
    </row>
    <row r="45">
      <c r="D45" s="126"/>
    </row>
    <row r="46">
      <c r="D46" s="126"/>
    </row>
    <row r="47">
      <c r="D47" s="126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6"/>
    <hyperlink r:id="rId14" ref="D17"/>
    <hyperlink r:id="rId15" ref="D18"/>
    <hyperlink r:id="rId16" ref="D19"/>
    <hyperlink r:id="rId17" ref="D20"/>
    <hyperlink r:id="rId18" ref="D21"/>
    <hyperlink r:id="rId19" ref="D23"/>
    <hyperlink r:id="rId20" ref="D26"/>
    <hyperlink r:id="rId21" ref="D29"/>
    <hyperlink r:id="rId22" ref="D30"/>
  </hyperlinks>
  <drawing r:id="rId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4.71"/>
    <col customWidth="1" min="2" max="2" width="11.29"/>
    <col customWidth="1" min="3" max="3" width="12.29"/>
    <col customWidth="1" min="4" max="4" width="48.29"/>
    <col customWidth="1" min="5" max="5" width="13.43"/>
    <col customWidth="1" min="6" max="6" width="23.57"/>
    <col customWidth="1" min="7" max="7" width="17.43"/>
    <col customWidth="1" min="8" max="8" width="55.86"/>
    <col customWidth="1" min="9" max="9" width="17.86"/>
    <col customWidth="1" min="10" max="10" width="64.57"/>
    <col customWidth="1" min="11" max="11" width="33.86"/>
    <col customWidth="1" min="12" max="12" width="14.57"/>
    <col customWidth="1" min="13" max="13" width="17.14"/>
    <col customWidth="1" min="14" max="14" width="23.43"/>
    <col customWidth="1" min="15" max="15" width="24.14"/>
    <col customWidth="1" min="16" max="16" width="46.29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7.0"/>
    <col customWidth="1" min="23" max="24" width="13.0"/>
    <col customWidth="1" min="25" max="25" width="83.43"/>
  </cols>
  <sheetData>
    <row r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25</v>
      </c>
      <c r="G1" s="107" t="s">
        <v>6</v>
      </c>
      <c r="H1" s="107" t="s">
        <v>7</v>
      </c>
      <c r="I1" s="107" t="s">
        <v>8</v>
      </c>
      <c r="J1" s="107" t="s">
        <v>9</v>
      </c>
      <c r="K1" s="127" t="s">
        <v>10</v>
      </c>
      <c r="L1" s="107" t="s">
        <v>11</v>
      </c>
      <c r="M1" s="127" t="s">
        <v>12</v>
      </c>
      <c r="N1" s="127" t="s">
        <v>13</v>
      </c>
      <c r="O1" s="127" t="s">
        <v>14</v>
      </c>
      <c r="P1" s="127" t="s">
        <v>15</v>
      </c>
      <c r="Q1" s="127" t="s">
        <v>16</v>
      </c>
      <c r="R1" s="127" t="s">
        <v>17</v>
      </c>
      <c r="S1" s="127" t="s">
        <v>18</v>
      </c>
      <c r="T1" s="107" t="s">
        <v>19</v>
      </c>
      <c r="U1" s="107" t="s">
        <v>20</v>
      </c>
      <c r="V1" s="127" t="s">
        <v>21</v>
      </c>
      <c r="W1" s="127" t="s">
        <v>22</v>
      </c>
      <c r="X1" s="127" t="s">
        <v>23</v>
      </c>
      <c r="Y1" s="127" t="s">
        <v>24</v>
      </c>
      <c r="Z1" s="93"/>
      <c r="AA1" s="40"/>
    </row>
    <row r="2">
      <c r="A2" s="128" t="s">
        <v>1151</v>
      </c>
      <c r="B2" s="128" t="s">
        <v>1152</v>
      </c>
      <c r="C2" s="128" t="s">
        <v>3429</v>
      </c>
      <c r="D2" s="113" t="s">
        <v>1153</v>
      </c>
      <c r="E2" s="128" t="s">
        <v>1154</v>
      </c>
      <c r="F2" s="129" t="s">
        <v>1155</v>
      </c>
      <c r="G2" s="128" t="s">
        <v>1156</v>
      </c>
      <c r="H2" s="128" t="s">
        <v>1157</v>
      </c>
      <c r="I2" s="128"/>
      <c r="J2" s="128" t="s">
        <v>3432</v>
      </c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</row>
    <row r="3">
      <c r="A3" s="128" t="s">
        <v>1158</v>
      </c>
      <c r="B3" s="128" t="s">
        <v>1152</v>
      </c>
      <c r="C3" s="128" t="s">
        <v>3417</v>
      </c>
      <c r="D3" s="113" t="s">
        <v>1159</v>
      </c>
      <c r="E3" s="128" t="s">
        <v>1160</v>
      </c>
      <c r="F3" s="129" t="s">
        <v>1161</v>
      </c>
      <c r="G3" s="128" t="s">
        <v>1162</v>
      </c>
      <c r="H3" s="128" t="s">
        <v>1163</v>
      </c>
      <c r="I3" s="128"/>
      <c r="J3" s="128" t="s">
        <v>3433</v>
      </c>
      <c r="K3" s="128" t="s">
        <v>3434</v>
      </c>
      <c r="L3" s="128" t="s">
        <v>1164</v>
      </c>
      <c r="M3" s="128"/>
      <c r="N3" s="128"/>
      <c r="O3" s="128"/>
      <c r="P3" s="128" t="s">
        <v>1298</v>
      </c>
      <c r="Q3" s="128"/>
      <c r="R3" s="128"/>
      <c r="S3" s="128"/>
      <c r="T3" s="128"/>
      <c r="U3" s="128"/>
      <c r="V3" s="128"/>
      <c r="W3" s="128" t="s">
        <v>412</v>
      </c>
      <c r="X3" s="128" t="s">
        <v>412</v>
      </c>
      <c r="Y3" s="128" t="s">
        <v>1165</v>
      </c>
    </row>
    <row r="4">
      <c r="A4" s="128" t="s">
        <v>1166</v>
      </c>
      <c r="B4" s="128" t="s">
        <v>1152</v>
      </c>
      <c r="C4" s="128" t="s">
        <v>3435</v>
      </c>
      <c r="D4" s="113" t="s">
        <v>1167</v>
      </c>
      <c r="E4" s="128" t="s">
        <v>1168</v>
      </c>
      <c r="F4" s="129" t="s">
        <v>1169</v>
      </c>
      <c r="G4" s="128" t="s">
        <v>1170</v>
      </c>
      <c r="H4" s="128" t="s">
        <v>1157</v>
      </c>
      <c r="I4" s="128"/>
      <c r="J4" s="128" t="s">
        <v>3436</v>
      </c>
      <c r="K4" s="128" t="s">
        <v>1171</v>
      </c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 t="s">
        <v>412</v>
      </c>
      <c r="W4" s="128" t="s">
        <v>412</v>
      </c>
      <c r="X4" s="128" t="s">
        <v>412</v>
      </c>
      <c r="Y4" s="128"/>
    </row>
    <row r="5">
      <c r="A5" s="128" t="s">
        <v>1172</v>
      </c>
      <c r="B5" s="128" t="s">
        <v>1152</v>
      </c>
      <c r="C5" s="128" t="s">
        <v>3437</v>
      </c>
      <c r="D5" s="113" t="s">
        <v>1173</v>
      </c>
      <c r="E5" s="128" t="s">
        <v>1174</v>
      </c>
      <c r="F5" s="129" t="s">
        <v>1175</v>
      </c>
      <c r="G5" s="128" t="s">
        <v>1176</v>
      </c>
      <c r="H5" s="128" t="s">
        <v>1157</v>
      </c>
      <c r="I5" s="128"/>
      <c r="J5" s="128"/>
      <c r="K5" s="128"/>
      <c r="L5" s="128"/>
      <c r="M5" s="128"/>
      <c r="N5" s="128"/>
      <c r="O5" s="128"/>
      <c r="P5" s="128"/>
      <c r="Q5" s="128"/>
      <c r="R5" s="128" t="s">
        <v>412</v>
      </c>
      <c r="S5" s="128" t="s">
        <v>412</v>
      </c>
      <c r="T5" s="128"/>
      <c r="U5" s="128"/>
      <c r="V5" s="128" t="s">
        <v>412</v>
      </c>
      <c r="W5" s="128" t="s">
        <v>412</v>
      </c>
      <c r="X5" s="128" t="s">
        <v>412</v>
      </c>
      <c r="Y5" s="128"/>
    </row>
    <row r="6">
      <c r="A6" s="128" t="s">
        <v>1177</v>
      </c>
      <c r="B6" s="128" t="s">
        <v>1152</v>
      </c>
      <c r="C6" s="128" t="s">
        <v>3438</v>
      </c>
      <c r="D6" s="113" t="s">
        <v>1178</v>
      </c>
      <c r="E6" s="128" t="s">
        <v>1179</v>
      </c>
      <c r="F6" s="129" t="s">
        <v>1180</v>
      </c>
      <c r="G6" s="128" t="s">
        <v>1181</v>
      </c>
      <c r="H6" s="128" t="s">
        <v>1157</v>
      </c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 t="s">
        <v>1182</v>
      </c>
      <c r="W6" s="128" t="s">
        <v>412</v>
      </c>
      <c r="X6" s="128" t="s">
        <v>412</v>
      </c>
      <c r="Y6" s="128"/>
    </row>
    <row r="7">
      <c r="A7" s="128" t="s">
        <v>1183</v>
      </c>
      <c r="B7" s="128" t="s">
        <v>1152</v>
      </c>
      <c r="C7" s="128" t="s">
        <v>3438</v>
      </c>
      <c r="D7" s="113" t="s">
        <v>1178</v>
      </c>
      <c r="E7" s="128" t="s">
        <v>1184</v>
      </c>
      <c r="F7" s="129" t="s">
        <v>1185</v>
      </c>
      <c r="G7" s="128" t="s">
        <v>1186</v>
      </c>
      <c r="H7" s="128" t="s">
        <v>1187</v>
      </c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 t="s">
        <v>1182</v>
      </c>
      <c r="W7" s="128" t="s">
        <v>412</v>
      </c>
      <c r="X7" s="128" t="s">
        <v>412</v>
      </c>
      <c r="Y7" s="128"/>
    </row>
    <row r="8">
      <c r="A8" s="128" t="s">
        <v>1188</v>
      </c>
      <c r="B8" s="128" t="s">
        <v>1152</v>
      </c>
      <c r="C8" s="128" t="s">
        <v>3438</v>
      </c>
      <c r="D8" s="113" t="s">
        <v>1178</v>
      </c>
      <c r="E8" s="128" t="s">
        <v>1189</v>
      </c>
      <c r="F8" s="129" t="s">
        <v>1190</v>
      </c>
      <c r="G8" s="128"/>
      <c r="H8" s="128" t="s">
        <v>1191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 t="s">
        <v>1182</v>
      </c>
      <c r="W8" s="128" t="s">
        <v>412</v>
      </c>
      <c r="X8" s="128" t="s">
        <v>412</v>
      </c>
      <c r="Y8" s="128"/>
    </row>
    <row r="9">
      <c r="A9" s="128" t="s">
        <v>1192</v>
      </c>
      <c r="B9" s="128" t="s">
        <v>1152</v>
      </c>
      <c r="C9" s="128" t="s">
        <v>3439</v>
      </c>
      <c r="D9" s="113" t="s">
        <v>1193</v>
      </c>
      <c r="E9" s="128" t="s">
        <v>1194</v>
      </c>
      <c r="F9" s="129" t="s">
        <v>1195</v>
      </c>
      <c r="G9" s="128" t="s">
        <v>1196</v>
      </c>
      <c r="H9" s="128" t="s">
        <v>1197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 t="s">
        <v>412</v>
      </c>
      <c r="W9" s="128" t="s">
        <v>412</v>
      </c>
      <c r="X9" s="128" t="s">
        <v>412</v>
      </c>
      <c r="Y9" s="128"/>
    </row>
    <row r="10">
      <c r="A10" s="128" t="s">
        <v>1198</v>
      </c>
      <c r="B10" s="128" t="s">
        <v>1152</v>
      </c>
      <c r="C10" s="128" t="s">
        <v>3415</v>
      </c>
      <c r="D10" s="113" t="s">
        <v>1199</v>
      </c>
      <c r="E10" s="128" t="s">
        <v>1200</v>
      </c>
      <c r="F10" s="128" t="s">
        <v>1201</v>
      </c>
      <c r="G10" s="128" t="s">
        <v>1202</v>
      </c>
      <c r="H10" s="128" t="s">
        <v>1203</v>
      </c>
      <c r="I10" s="128"/>
      <c r="J10" s="128" t="s">
        <v>3440</v>
      </c>
      <c r="K10" s="128"/>
      <c r="L10" s="128"/>
      <c r="M10" s="128"/>
      <c r="N10" s="128" t="s">
        <v>3441</v>
      </c>
      <c r="O10" s="128"/>
      <c r="P10" s="128"/>
      <c r="Q10" s="128"/>
      <c r="R10" s="128"/>
      <c r="S10" s="128"/>
      <c r="T10" s="128"/>
      <c r="U10" s="128"/>
      <c r="V10" s="128"/>
      <c r="W10" s="128" t="s">
        <v>412</v>
      </c>
      <c r="X10" s="128" t="s">
        <v>412</v>
      </c>
      <c r="Y10" s="128" t="s">
        <v>1204</v>
      </c>
    </row>
    <row r="11">
      <c r="A11" s="128" t="s">
        <v>1198</v>
      </c>
      <c r="B11" s="128" t="s">
        <v>1152</v>
      </c>
      <c r="C11" s="128" t="s">
        <v>415</v>
      </c>
      <c r="D11" s="113" t="s">
        <v>1199</v>
      </c>
      <c r="E11" s="128" t="s">
        <v>1200</v>
      </c>
      <c r="F11" s="128" t="s">
        <v>1201</v>
      </c>
      <c r="G11" s="128" t="s">
        <v>1202</v>
      </c>
      <c r="H11" s="128" t="s">
        <v>1205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 t="s">
        <v>412</v>
      </c>
      <c r="X11" s="128" t="s">
        <v>412</v>
      </c>
      <c r="Y11" s="128"/>
    </row>
    <row r="12">
      <c r="A12" s="128" t="s">
        <v>1206</v>
      </c>
      <c r="B12" s="128" t="s">
        <v>1152</v>
      </c>
      <c r="C12" s="128" t="s">
        <v>415</v>
      </c>
      <c r="D12" s="113" t="s">
        <v>1207</v>
      </c>
      <c r="E12" s="128" t="s">
        <v>1208</v>
      </c>
      <c r="F12" s="129" t="s">
        <v>1209</v>
      </c>
      <c r="G12" s="128"/>
      <c r="H12" s="128" t="s">
        <v>1210</v>
      </c>
      <c r="I12" s="128"/>
      <c r="J12" s="128" t="s">
        <v>3442</v>
      </c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412</v>
      </c>
      <c r="X12" s="128" t="s">
        <v>412</v>
      </c>
      <c r="Y12" s="128" t="s">
        <v>1211</v>
      </c>
    </row>
    <row r="13">
      <c r="A13" s="128" t="s">
        <v>1212</v>
      </c>
      <c r="B13" s="128" t="s">
        <v>1152</v>
      </c>
      <c r="C13" s="128" t="s">
        <v>3443</v>
      </c>
      <c r="D13" s="113" t="s">
        <v>1213</v>
      </c>
      <c r="E13" s="128" t="s">
        <v>1214</v>
      </c>
      <c r="F13" s="129" t="s">
        <v>1215</v>
      </c>
      <c r="G13" s="128" t="s">
        <v>1216</v>
      </c>
      <c r="H13" s="128" t="s">
        <v>1217</v>
      </c>
      <c r="I13" s="128"/>
      <c r="J13" s="128" t="s">
        <v>3444</v>
      </c>
      <c r="K13" s="128" t="s">
        <v>1282</v>
      </c>
      <c r="L13" s="128" t="s">
        <v>1218</v>
      </c>
      <c r="M13" s="128"/>
      <c r="N13" s="128" t="s">
        <v>3445</v>
      </c>
      <c r="O13" s="128"/>
      <c r="P13" s="128"/>
      <c r="Q13" s="128"/>
      <c r="R13" s="128"/>
      <c r="S13" s="128"/>
      <c r="T13" s="128"/>
      <c r="U13" s="128"/>
      <c r="V13" s="128" t="s">
        <v>412</v>
      </c>
      <c r="W13" s="128" t="s">
        <v>412</v>
      </c>
      <c r="X13" s="128" t="s">
        <v>412</v>
      </c>
      <c r="Y13" s="128" t="s">
        <v>1219</v>
      </c>
    </row>
    <row r="14">
      <c r="A14" s="128" t="s">
        <v>1220</v>
      </c>
      <c r="B14" s="128" t="s">
        <v>1152</v>
      </c>
      <c r="C14" s="128" t="s">
        <v>3418</v>
      </c>
      <c r="D14" s="113" t="s">
        <v>1221</v>
      </c>
      <c r="E14" s="128" t="s">
        <v>1222</v>
      </c>
      <c r="F14" s="128" t="s">
        <v>1223</v>
      </c>
      <c r="G14" s="128" t="s">
        <v>1224</v>
      </c>
      <c r="H14" s="128" t="s">
        <v>1225</v>
      </c>
      <c r="I14" s="128"/>
      <c r="J14" s="128"/>
      <c r="K14" s="128"/>
      <c r="L14" s="128"/>
      <c r="M14" s="128"/>
      <c r="N14" s="128" t="s">
        <v>1226</v>
      </c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>
      <c r="A15" s="128" t="s">
        <v>1227</v>
      </c>
      <c r="B15" s="128" t="s">
        <v>1152</v>
      </c>
      <c r="C15" s="128" t="s">
        <v>3418</v>
      </c>
      <c r="D15" s="113" t="s">
        <v>1228</v>
      </c>
      <c r="E15" s="128" t="s">
        <v>1229</v>
      </c>
      <c r="F15" s="128"/>
      <c r="G15" s="128"/>
      <c r="H15" s="128" t="s">
        <v>1230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44"/>
    </row>
    <row r="16">
      <c r="A16" s="129" t="s">
        <v>1231</v>
      </c>
      <c r="B16" s="37" t="s">
        <v>1152</v>
      </c>
      <c r="C16" s="128" t="s">
        <v>3446</v>
      </c>
      <c r="D16" s="113" t="s">
        <v>1232</v>
      </c>
      <c r="E16" s="37" t="s">
        <v>1233</v>
      </c>
      <c r="F16" s="129" t="s">
        <v>1234</v>
      </c>
      <c r="G16" s="128" t="s">
        <v>1235</v>
      </c>
      <c r="H16" s="37" t="s">
        <v>1236</v>
      </c>
      <c r="I16" s="128"/>
      <c r="J16" s="128" t="s">
        <v>3447</v>
      </c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44"/>
    </row>
    <row r="17">
      <c r="A17" s="128" t="s">
        <v>1237</v>
      </c>
      <c r="B17" s="37" t="s">
        <v>1152</v>
      </c>
      <c r="C17" s="128" t="s">
        <v>3429</v>
      </c>
      <c r="D17" s="113" t="s">
        <v>1238</v>
      </c>
      <c r="E17" s="128" t="s">
        <v>1239</v>
      </c>
      <c r="F17" s="37" t="s">
        <v>1240</v>
      </c>
      <c r="G17" s="128"/>
      <c r="H17" s="128" t="s">
        <v>1241</v>
      </c>
      <c r="I17" s="128"/>
      <c r="J17" s="128" t="s">
        <v>3448</v>
      </c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44"/>
    </row>
    <row r="18">
      <c r="A18" s="128" t="s">
        <v>1242</v>
      </c>
      <c r="B18" s="128" t="s">
        <v>1152</v>
      </c>
      <c r="C18" s="128" t="s">
        <v>3430</v>
      </c>
      <c r="D18" s="113" t="s">
        <v>1243</v>
      </c>
      <c r="E18" s="128">
        <v>5254172.0</v>
      </c>
      <c r="F18" s="128" t="s">
        <v>1244</v>
      </c>
      <c r="G18" s="128" t="s">
        <v>1245</v>
      </c>
      <c r="H18" s="128" t="s">
        <v>1246</v>
      </c>
      <c r="I18" s="128">
        <v>30.0</v>
      </c>
      <c r="J18" s="128" t="s">
        <v>3449</v>
      </c>
      <c r="K18" s="128" t="s">
        <v>3450</v>
      </c>
      <c r="L18" s="128"/>
      <c r="M18" s="128"/>
      <c r="N18" s="128" t="s">
        <v>1248</v>
      </c>
      <c r="O18" s="128"/>
      <c r="P18" s="128" t="s">
        <v>3451</v>
      </c>
      <c r="Q18" s="128"/>
      <c r="R18" s="128"/>
      <c r="S18" s="128"/>
      <c r="T18" s="128"/>
      <c r="U18" s="128"/>
      <c r="V18" s="128"/>
      <c r="W18" s="128" t="s">
        <v>412</v>
      </c>
      <c r="X18" s="128" t="s">
        <v>412</v>
      </c>
      <c r="Y18" s="128"/>
      <c r="Z18" s="44"/>
    </row>
    <row r="19">
      <c r="A19" s="128" t="s">
        <v>1249</v>
      </c>
      <c r="B19" s="128" t="s">
        <v>1152</v>
      </c>
      <c r="C19" s="128" t="s">
        <v>3430</v>
      </c>
      <c r="D19" s="113" t="s">
        <v>1250</v>
      </c>
      <c r="E19" s="128" t="s">
        <v>1251</v>
      </c>
      <c r="F19" s="128" t="s">
        <v>1252</v>
      </c>
      <c r="G19" s="128"/>
      <c r="H19" s="128" t="s">
        <v>1253</v>
      </c>
      <c r="I19" s="128" t="s">
        <v>3452</v>
      </c>
      <c r="J19" s="128" t="s">
        <v>3453</v>
      </c>
      <c r="K19" s="128"/>
      <c r="L19" s="128"/>
      <c r="M19" s="128"/>
      <c r="N19" s="128" t="s">
        <v>1248</v>
      </c>
      <c r="O19" s="128" t="s">
        <v>412</v>
      </c>
      <c r="P19" s="128" t="s">
        <v>412</v>
      </c>
      <c r="Q19" s="128"/>
      <c r="R19" s="128"/>
      <c r="S19" s="128"/>
      <c r="T19" s="128"/>
      <c r="U19" s="128"/>
      <c r="V19" s="128" t="s">
        <v>412</v>
      </c>
      <c r="W19" s="128" t="s">
        <v>412</v>
      </c>
      <c r="X19" s="128" t="s">
        <v>412</v>
      </c>
      <c r="Y19" s="128" t="s">
        <v>1254</v>
      </c>
    </row>
    <row r="20">
      <c r="A20" s="128" t="s">
        <v>1255</v>
      </c>
      <c r="B20" s="128" t="s">
        <v>1152</v>
      </c>
      <c r="C20" s="128" t="s">
        <v>3454</v>
      </c>
      <c r="D20" s="113" t="s">
        <v>1256</v>
      </c>
      <c r="E20" s="128">
        <v>5.5689096E7</v>
      </c>
      <c r="F20" s="130" t="s">
        <v>1257</v>
      </c>
      <c r="G20" s="128"/>
      <c r="H20" s="128" t="s">
        <v>1258</v>
      </c>
      <c r="I20" s="128" t="s">
        <v>3455</v>
      </c>
      <c r="J20" s="128" t="s">
        <v>3456</v>
      </c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 t="s">
        <v>412</v>
      </c>
      <c r="X20" s="128" t="s">
        <v>412</v>
      </c>
      <c r="Y20" s="128" t="s">
        <v>3457</v>
      </c>
    </row>
    <row r="21">
      <c r="A21" s="128" t="s">
        <v>1260</v>
      </c>
      <c r="B21" s="128"/>
      <c r="C21" s="128"/>
      <c r="D21" s="118"/>
      <c r="E21" s="128">
        <v>5.6887488E7</v>
      </c>
      <c r="F21" s="129" t="s">
        <v>1261</v>
      </c>
      <c r="G21" s="128"/>
      <c r="H21" s="128" t="s">
        <v>1262</v>
      </c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5"/>
      <c r="AA21" s="40"/>
    </row>
    <row r="22">
      <c r="A22" s="37" t="s">
        <v>1263</v>
      </c>
      <c r="B22" s="128"/>
      <c r="C22" s="128"/>
      <c r="D22" s="118"/>
      <c r="E22" s="128" t="s">
        <v>1264</v>
      </c>
      <c r="F22" s="128" t="s">
        <v>1265</v>
      </c>
      <c r="G22" s="128" t="s">
        <v>1266</v>
      </c>
      <c r="H22" s="128" t="s">
        <v>1267</v>
      </c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5"/>
      <c r="AA22" s="40"/>
    </row>
    <row r="23">
      <c r="A23" s="131"/>
      <c r="B23" s="132"/>
      <c r="C23" s="132"/>
      <c r="D23" s="133"/>
      <c r="E23" s="132"/>
      <c r="F23" s="132"/>
      <c r="G23" s="132"/>
      <c r="H23" s="131"/>
      <c r="I23" s="132"/>
      <c r="J23" s="131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5"/>
      <c r="AA23" s="40"/>
    </row>
    <row r="24">
      <c r="A24" s="131"/>
      <c r="B24" s="132"/>
      <c r="C24" s="132"/>
      <c r="D24" s="133"/>
      <c r="E24" s="132"/>
      <c r="F24" s="132"/>
      <c r="G24" s="132"/>
      <c r="H24" s="131"/>
      <c r="I24" s="132"/>
      <c r="J24" s="131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5"/>
      <c r="AA24" s="40"/>
    </row>
    <row r="25">
      <c r="A25" s="131"/>
      <c r="B25" s="132"/>
      <c r="C25" s="132"/>
      <c r="D25" s="133"/>
      <c r="E25" s="132"/>
      <c r="F25" s="132"/>
      <c r="G25" s="132"/>
      <c r="H25" s="131"/>
      <c r="I25" s="132"/>
      <c r="J25" s="131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5"/>
      <c r="AA25" s="40"/>
    </row>
    <row r="26">
      <c r="A26" s="131"/>
      <c r="B26" s="132"/>
      <c r="C26" s="132"/>
      <c r="D26" s="133"/>
      <c r="E26" s="132"/>
      <c r="F26" s="132"/>
      <c r="G26" s="132"/>
      <c r="H26" s="131"/>
      <c r="I26" s="132"/>
      <c r="J26" s="131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5"/>
      <c r="AA26" s="40"/>
    </row>
    <row r="27">
      <c r="A27" s="131"/>
      <c r="B27" s="132"/>
      <c r="C27" s="132"/>
      <c r="D27" s="133"/>
      <c r="E27" s="132"/>
      <c r="F27" s="132"/>
      <c r="G27" s="132"/>
      <c r="H27" s="131"/>
      <c r="I27" s="132"/>
      <c r="J27" s="131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5"/>
      <c r="AA27" s="40"/>
    </row>
    <row r="28">
      <c r="A28" s="131"/>
      <c r="B28" s="132"/>
      <c r="C28" s="132"/>
      <c r="D28" s="133"/>
      <c r="E28" s="132"/>
      <c r="F28" s="132"/>
      <c r="G28" s="132"/>
      <c r="H28" s="131"/>
      <c r="I28" s="132"/>
      <c r="J28" s="131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5"/>
      <c r="AA28" s="40"/>
    </row>
    <row r="29">
      <c r="A29" s="131"/>
      <c r="B29" s="132"/>
      <c r="C29" s="132"/>
      <c r="D29" s="133"/>
      <c r="E29" s="132"/>
      <c r="F29" s="132"/>
      <c r="G29" s="132"/>
      <c r="H29" s="131"/>
      <c r="I29" s="132"/>
      <c r="J29" s="131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5"/>
      <c r="AA29" s="40"/>
    </row>
    <row r="30">
      <c r="A30" s="131"/>
      <c r="B30" s="132"/>
      <c r="C30" s="132"/>
      <c r="D30" s="133"/>
      <c r="E30" s="132"/>
      <c r="F30" s="132"/>
      <c r="G30" s="132"/>
      <c r="H30" s="131"/>
      <c r="I30" s="132"/>
      <c r="J30" s="131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5"/>
      <c r="AA30" s="40"/>
    </row>
    <row r="31">
      <c r="A31" s="131"/>
      <c r="B31" s="132"/>
      <c r="C31" s="132"/>
      <c r="D31" s="133"/>
      <c r="E31" s="132"/>
      <c r="F31" s="132"/>
      <c r="G31" s="132"/>
      <c r="H31" s="131"/>
      <c r="I31" s="132"/>
      <c r="J31" s="131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5"/>
      <c r="AA31" s="40"/>
    </row>
    <row r="32">
      <c r="A32" s="131"/>
      <c r="B32" s="132"/>
      <c r="C32" s="132"/>
      <c r="D32" s="133"/>
      <c r="E32" s="132"/>
      <c r="F32" s="132"/>
      <c r="G32" s="132"/>
      <c r="H32" s="131"/>
      <c r="I32" s="132"/>
      <c r="J32" s="131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5"/>
      <c r="AA32" s="40"/>
    </row>
    <row r="33">
      <c r="A33" s="131"/>
      <c r="B33" s="132"/>
      <c r="C33" s="132"/>
      <c r="D33" s="133"/>
      <c r="E33" s="132"/>
      <c r="F33" s="132"/>
      <c r="G33" s="132"/>
      <c r="H33" s="131"/>
      <c r="I33" s="132"/>
      <c r="J33" s="131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5"/>
      <c r="AA33" s="40"/>
    </row>
    <row r="34">
      <c r="A34" s="131"/>
      <c r="B34" s="132"/>
      <c r="C34" s="132"/>
      <c r="D34" s="133"/>
      <c r="E34" s="132"/>
      <c r="F34" s="132"/>
      <c r="G34" s="132"/>
      <c r="H34" s="131"/>
      <c r="I34" s="132"/>
      <c r="J34" s="131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5"/>
      <c r="AA34" s="40"/>
    </row>
    <row r="35">
      <c r="A35" s="131"/>
      <c r="B35" s="132"/>
      <c r="C35" s="132"/>
      <c r="D35" s="133"/>
      <c r="E35" s="132"/>
      <c r="F35" s="132"/>
      <c r="G35" s="132"/>
      <c r="H35" s="131"/>
      <c r="I35" s="132"/>
      <c r="J35" s="131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5"/>
      <c r="AA35" s="40"/>
    </row>
    <row r="36">
      <c r="A36" s="134"/>
      <c r="D36" s="135"/>
      <c r="F36" s="136"/>
      <c r="H36" s="134"/>
      <c r="J36" s="134"/>
    </row>
    <row r="37">
      <c r="A37" s="134"/>
      <c r="D37" s="135"/>
      <c r="F37" s="136"/>
      <c r="H37" s="134"/>
      <c r="J37" s="134"/>
    </row>
    <row r="38">
      <c r="A38" s="134"/>
      <c r="D38" s="135"/>
      <c r="F38" s="136"/>
      <c r="H38" s="134"/>
      <c r="J38" s="134"/>
    </row>
    <row r="39">
      <c r="A39" s="134"/>
      <c r="D39" s="135"/>
      <c r="F39" s="136"/>
      <c r="H39" s="134"/>
      <c r="J39" s="134"/>
    </row>
    <row r="40">
      <c r="A40" s="134"/>
      <c r="D40" s="135"/>
      <c r="F40" s="136"/>
      <c r="H40" s="134"/>
      <c r="J40" s="134"/>
    </row>
    <row r="41">
      <c r="A41" s="134"/>
      <c r="D41" s="135"/>
      <c r="F41" s="136"/>
      <c r="H41" s="134"/>
      <c r="J41" s="134"/>
    </row>
    <row r="42">
      <c r="A42" s="134"/>
      <c r="D42" s="135"/>
      <c r="F42" s="136"/>
      <c r="H42" s="134"/>
      <c r="J42" s="134"/>
    </row>
    <row r="43">
      <c r="A43" s="134"/>
      <c r="D43" s="135"/>
      <c r="F43" s="136"/>
      <c r="H43" s="134"/>
      <c r="J43" s="134"/>
    </row>
    <row r="44">
      <c r="A44" s="134"/>
      <c r="D44" s="135"/>
      <c r="F44" s="136"/>
      <c r="H44" s="134"/>
      <c r="J44" s="134"/>
    </row>
    <row r="45">
      <c r="A45" s="134"/>
      <c r="D45" s="135"/>
      <c r="F45" s="136"/>
      <c r="H45" s="134"/>
      <c r="J45" s="134"/>
    </row>
    <row r="46">
      <c r="A46" s="134"/>
      <c r="D46" s="135"/>
      <c r="F46" s="136"/>
      <c r="H46" s="134"/>
      <c r="J46" s="134"/>
    </row>
    <row r="47">
      <c r="A47" s="134"/>
      <c r="D47" s="135"/>
      <c r="F47" s="136"/>
      <c r="H47" s="134"/>
      <c r="J47" s="134"/>
    </row>
    <row r="48">
      <c r="A48" s="134"/>
      <c r="D48" s="135"/>
      <c r="F48" s="136"/>
      <c r="H48" s="134"/>
      <c r="J48" s="134"/>
    </row>
    <row r="49">
      <c r="A49" s="134"/>
      <c r="D49" s="135"/>
      <c r="F49" s="136"/>
      <c r="H49" s="134"/>
      <c r="J49" s="134"/>
    </row>
    <row r="50">
      <c r="A50" s="134"/>
      <c r="D50" s="135"/>
      <c r="F50" s="136"/>
      <c r="H50" s="134"/>
      <c r="J50" s="134"/>
    </row>
    <row r="51">
      <c r="A51" s="134"/>
      <c r="D51" s="135"/>
      <c r="F51" s="136"/>
      <c r="H51" s="134"/>
      <c r="J51" s="134"/>
    </row>
    <row r="52">
      <c r="A52" s="134"/>
      <c r="D52" s="135"/>
      <c r="F52" s="136"/>
      <c r="H52" s="134"/>
      <c r="J52" s="134"/>
    </row>
    <row r="53">
      <c r="A53" s="134"/>
      <c r="D53" s="135"/>
      <c r="F53" s="136"/>
      <c r="H53" s="134"/>
      <c r="J53" s="134"/>
    </row>
    <row r="54">
      <c r="A54" s="134"/>
      <c r="D54" s="135"/>
      <c r="F54" s="136"/>
      <c r="H54" s="134"/>
      <c r="J54" s="134"/>
    </row>
    <row r="55">
      <c r="A55" s="134"/>
      <c r="D55" s="135"/>
      <c r="F55" s="136"/>
      <c r="H55" s="134"/>
      <c r="J55" s="134"/>
    </row>
    <row r="56">
      <c r="A56" s="134"/>
      <c r="D56" s="135"/>
      <c r="F56" s="136"/>
      <c r="H56" s="134"/>
      <c r="J56" s="134"/>
    </row>
    <row r="57">
      <c r="A57" s="134"/>
      <c r="D57" s="135"/>
      <c r="F57" s="136"/>
      <c r="H57" s="134"/>
      <c r="J57" s="134"/>
    </row>
    <row r="58">
      <c r="A58" s="134"/>
      <c r="D58" s="135"/>
      <c r="F58" s="136"/>
      <c r="H58" s="134"/>
      <c r="J58" s="134"/>
    </row>
    <row r="59">
      <c r="A59" s="134"/>
      <c r="D59" s="135"/>
      <c r="F59" s="136"/>
      <c r="H59" s="134"/>
      <c r="J59" s="134"/>
    </row>
    <row r="60">
      <c r="A60" s="134"/>
      <c r="D60" s="135"/>
      <c r="F60" s="136"/>
      <c r="H60" s="134"/>
      <c r="J60" s="134"/>
    </row>
    <row r="61">
      <c r="A61" s="134"/>
      <c r="D61" s="135"/>
      <c r="F61" s="136"/>
      <c r="H61" s="134"/>
      <c r="J61" s="134"/>
    </row>
    <row r="62">
      <c r="A62" s="134"/>
      <c r="D62" s="135"/>
      <c r="F62" s="136"/>
      <c r="H62" s="134"/>
      <c r="J62" s="134"/>
    </row>
    <row r="63">
      <c r="A63" s="134"/>
      <c r="D63" s="135"/>
      <c r="F63" s="136"/>
      <c r="H63" s="134"/>
      <c r="J63" s="134"/>
    </row>
    <row r="64">
      <c r="A64" s="134"/>
      <c r="D64" s="135"/>
      <c r="F64" s="136"/>
      <c r="H64" s="134"/>
      <c r="J64" s="134"/>
    </row>
    <row r="65">
      <c r="A65" s="134"/>
      <c r="D65" s="135"/>
      <c r="F65" s="136"/>
      <c r="H65" s="134"/>
      <c r="J65" s="134"/>
    </row>
    <row r="66">
      <c r="A66" s="134"/>
      <c r="D66" s="135"/>
      <c r="F66" s="136"/>
      <c r="H66" s="134"/>
      <c r="J66" s="134"/>
    </row>
    <row r="67">
      <c r="A67" s="134"/>
      <c r="D67" s="135"/>
      <c r="F67" s="136"/>
      <c r="H67" s="134"/>
      <c r="J67" s="134"/>
    </row>
    <row r="68">
      <c r="A68" s="134"/>
      <c r="D68" s="135"/>
      <c r="F68" s="136"/>
      <c r="H68" s="134"/>
      <c r="J68" s="134"/>
    </row>
    <row r="69">
      <c r="A69" s="134"/>
      <c r="D69" s="135"/>
      <c r="F69" s="136"/>
      <c r="H69" s="134"/>
      <c r="J69" s="134"/>
    </row>
    <row r="70">
      <c r="A70" s="134"/>
      <c r="D70" s="135"/>
      <c r="F70" s="136"/>
      <c r="H70" s="134"/>
      <c r="J70" s="134"/>
    </row>
    <row r="71">
      <c r="A71" s="134"/>
      <c r="D71" s="135"/>
      <c r="F71" s="136"/>
      <c r="H71" s="134"/>
      <c r="J71" s="134"/>
    </row>
    <row r="72">
      <c r="A72" s="134"/>
      <c r="D72" s="135"/>
      <c r="F72" s="136"/>
      <c r="H72" s="134"/>
      <c r="J72" s="134"/>
    </row>
    <row r="73">
      <c r="A73" s="134"/>
      <c r="D73" s="135"/>
      <c r="F73" s="136"/>
      <c r="H73" s="134"/>
      <c r="J73" s="134"/>
    </row>
    <row r="74">
      <c r="A74" s="134"/>
      <c r="D74" s="135"/>
      <c r="F74" s="136"/>
      <c r="H74" s="134"/>
      <c r="J74" s="134"/>
    </row>
    <row r="75">
      <c r="A75" s="134"/>
      <c r="D75" s="135"/>
      <c r="F75" s="136"/>
      <c r="H75" s="134"/>
      <c r="J75" s="134"/>
    </row>
    <row r="76">
      <c r="A76" s="134"/>
      <c r="D76" s="135"/>
      <c r="F76" s="136"/>
      <c r="H76" s="134"/>
      <c r="J76" s="134"/>
    </row>
    <row r="77">
      <c r="A77" s="134"/>
      <c r="D77" s="135"/>
      <c r="F77" s="136"/>
      <c r="H77" s="134"/>
      <c r="J77" s="134"/>
    </row>
    <row r="78">
      <c r="A78" s="134"/>
      <c r="D78" s="135"/>
      <c r="F78" s="136"/>
      <c r="H78" s="134"/>
      <c r="J78" s="134"/>
    </row>
    <row r="79">
      <c r="A79" s="134"/>
      <c r="D79" s="135"/>
      <c r="F79" s="136"/>
      <c r="H79" s="134"/>
      <c r="J79" s="134"/>
    </row>
    <row r="80">
      <c r="A80" s="134"/>
      <c r="D80" s="135"/>
      <c r="F80" s="136"/>
      <c r="H80" s="134"/>
      <c r="J80" s="134"/>
    </row>
    <row r="81">
      <c r="A81" s="134"/>
      <c r="D81" s="135"/>
      <c r="F81" s="136"/>
      <c r="H81" s="134"/>
      <c r="J81" s="134"/>
    </row>
    <row r="82">
      <c r="A82" s="134"/>
      <c r="D82" s="135"/>
      <c r="F82" s="136"/>
      <c r="H82" s="134"/>
      <c r="J82" s="134"/>
    </row>
    <row r="83">
      <c r="A83" s="134"/>
      <c r="D83" s="135"/>
      <c r="F83" s="136"/>
      <c r="H83" s="134"/>
      <c r="J83" s="134"/>
    </row>
    <row r="84">
      <c r="A84" s="134"/>
      <c r="D84" s="135"/>
      <c r="F84" s="136"/>
      <c r="H84" s="134"/>
      <c r="J84" s="134"/>
    </row>
    <row r="85">
      <c r="A85" s="134"/>
      <c r="D85" s="135"/>
      <c r="F85" s="136"/>
      <c r="H85" s="134"/>
      <c r="J85" s="134"/>
    </row>
    <row r="86">
      <c r="A86" s="134"/>
      <c r="D86" s="135"/>
      <c r="F86" s="136"/>
      <c r="H86" s="134"/>
      <c r="J86" s="134"/>
    </row>
    <row r="87">
      <c r="A87" s="134"/>
      <c r="D87" s="135"/>
      <c r="F87" s="136"/>
      <c r="H87" s="134"/>
      <c r="J87" s="134"/>
    </row>
    <row r="88">
      <c r="A88" s="134"/>
      <c r="D88" s="135"/>
      <c r="F88" s="136"/>
      <c r="H88" s="134"/>
      <c r="J88" s="134"/>
    </row>
    <row r="89">
      <c r="A89" s="134"/>
      <c r="D89" s="135"/>
      <c r="F89" s="136"/>
      <c r="H89" s="134"/>
      <c r="J89" s="134"/>
    </row>
    <row r="90">
      <c r="A90" s="134"/>
      <c r="D90" s="135"/>
      <c r="F90" s="136"/>
      <c r="H90" s="134"/>
      <c r="J90" s="134"/>
    </row>
    <row r="91">
      <c r="A91" s="134"/>
      <c r="D91" s="135"/>
      <c r="F91" s="136"/>
      <c r="H91" s="134"/>
      <c r="J91" s="134"/>
    </row>
    <row r="92">
      <c r="A92" s="134"/>
      <c r="D92" s="135"/>
      <c r="F92" s="136"/>
      <c r="H92" s="134"/>
      <c r="J92" s="134"/>
    </row>
    <row r="93">
      <c r="A93" s="134"/>
      <c r="D93" s="135"/>
      <c r="F93" s="136"/>
      <c r="H93" s="134"/>
      <c r="J93" s="134"/>
    </row>
    <row r="94">
      <c r="A94" s="134"/>
      <c r="D94" s="135"/>
      <c r="F94" s="136"/>
      <c r="H94" s="134"/>
      <c r="J94" s="134"/>
    </row>
    <row r="95">
      <c r="A95" s="134"/>
      <c r="D95" s="135"/>
      <c r="F95" s="136"/>
      <c r="H95" s="134"/>
      <c r="J95" s="134"/>
    </row>
    <row r="96">
      <c r="A96" s="134"/>
      <c r="D96" s="135"/>
      <c r="F96" s="136"/>
      <c r="H96" s="134"/>
      <c r="J96" s="134"/>
    </row>
    <row r="97">
      <c r="A97" s="134"/>
      <c r="D97" s="135"/>
      <c r="F97" s="136"/>
      <c r="H97" s="134"/>
      <c r="J97" s="134"/>
    </row>
    <row r="98">
      <c r="A98" s="134"/>
      <c r="D98" s="135"/>
      <c r="F98" s="136"/>
      <c r="H98" s="134"/>
      <c r="J98" s="134"/>
    </row>
    <row r="99">
      <c r="A99" s="134"/>
      <c r="D99" s="135"/>
      <c r="F99" s="136"/>
      <c r="H99" s="134"/>
      <c r="J99" s="134"/>
    </row>
    <row r="100">
      <c r="A100" s="134"/>
      <c r="D100" s="135"/>
      <c r="F100" s="136"/>
      <c r="H100" s="134"/>
      <c r="J100" s="134"/>
    </row>
    <row r="101">
      <c r="A101" s="134"/>
      <c r="D101" s="135"/>
      <c r="F101" s="136"/>
      <c r="H101" s="134"/>
      <c r="J101" s="134"/>
    </row>
    <row r="102">
      <c r="A102" s="134"/>
      <c r="D102" s="135"/>
      <c r="F102" s="136"/>
      <c r="H102" s="134"/>
      <c r="J102" s="134"/>
    </row>
    <row r="103">
      <c r="A103" s="134"/>
      <c r="D103" s="135"/>
      <c r="F103" s="136"/>
      <c r="H103" s="134"/>
      <c r="J103" s="134"/>
    </row>
    <row r="104">
      <c r="A104" s="134"/>
      <c r="D104" s="135"/>
      <c r="F104" s="136"/>
      <c r="H104" s="134"/>
      <c r="J104" s="134"/>
    </row>
    <row r="105">
      <c r="A105" s="134"/>
      <c r="D105" s="135"/>
      <c r="F105" s="136"/>
      <c r="H105" s="134"/>
      <c r="J105" s="134"/>
    </row>
    <row r="106">
      <c r="A106" s="134"/>
      <c r="D106" s="135"/>
      <c r="F106" s="136"/>
      <c r="H106" s="134"/>
      <c r="J106" s="134"/>
    </row>
    <row r="107">
      <c r="A107" s="134"/>
      <c r="D107" s="135"/>
      <c r="F107" s="136"/>
      <c r="H107" s="134"/>
      <c r="J107" s="134"/>
    </row>
    <row r="108">
      <c r="A108" s="134"/>
      <c r="D108" s="135"/>
      <c r="F108" s="136"/>
      <c r="H108" s="134"/>
      <c r="J108" s="134"/>
    </row>
    <row r="109">
      <c r="A109" s="134"/>
      <c r="D109" s="135"/>
      <c r="F109" s="136"/>
      <c r="H109" s="134"/>
      <c r="J109" s="134"/>
    </row>
    <row r="110">
      <c r="A110" s="134"/>
      <c r="D110" s="135"/>
      <c r="F110" s="136"/>
      <c r="H110" s="134"/>
      <c r="J110" s="134"/>
    </row>
    <row r="111">
      <c r="A111" s="134"/>
      <c r="D111" s="135"/>
      <c r="F111" s="136"/>
      <c r="H111" s="134"/>
      <c r="J111" s="134"/>
    </row>
    <row r="112">
      <c r="A112" s="134"/>
      <c r="D112" s="135"/>
      <c r="F112" s="136"/>
      <c r="H112" s="134"/>
      <c r="J112" s="134"/>
    </row>
    <row r="113">
      <c r="A113" s="134"/>
      <c r="D113" s="135"/>
      <c r="F113" s="136"/>
      <c r="H113" s="134"/>
      <c r="J113" s="134"/>
    </row>
    <row r="114">
      <c r="A114" s="134"/>
      <c r="D114" s="135"/>
      <c r="F114" s="136"/>
      <c r="H114" s="134"/>
      <c r="J114" s="134"/>
    </row>
    <row r="115">
      <c r="A115" s="134"/>
      <c r="D115" s="135"/>
      <c r="F115" s="136"/>
      <c r="H115" s="134"/>
      <c r="J115" s="134"/>
    </row>
    <row r="116">
      <c r="A116" s="134"/>
      <c r="D116" s="135"/>
      <c r="F116" s="136"/>
      <c r="H116" s="134"/>
      <c r="J116" s="134"/>
    </row>
    <row r="117">
      <c r="A117" s="134"/>
      <c r="D117" s="135"/>
      <c r="F117" s="136"/>
      <c r="H117" s="134"/>
      <c r="J117" s="134"/>
    </row>
    <row r="118">
      <c r="A118" s="134"/>
      <c r="D118" s="135"/>
      <c r="F118" s="136"/>
      <c r="H118" s="134"/>
      <c r="J118" s="134"/>
    </row>
    <row r="119">
      <c r="A119" s="134"/>
      <c r="D119" s="135"/>
      <c r="F119" s="136"/>
      <c r="H119" s="134"/>
      <c r="J119" s="134"/>
    </row>
    <row r="120">
      <c r="A120" s="134"/>
      <c r="D120" s="135"/>
      <c r="F120" s="136"/>
      <c r="H120" s="134"/>
      <c r="J120" s="134"/>
    </row>
    <row r="121">
      <c r="A121" s="134"/>
      <c r="D121" s="135"/>
      <c r="F121" s="136"/>
      <c r="H121" s="134"/>
      <c r="J121" s="134"/>
    </row>
    <row r="122">
      <c r="A122" s="134"/>
      <c r="D122" s="135"/>
      <c r="F122" s="136"/>
      <c r="H122" s="134"/>
      <c r="J122" s="134"/>
    </row>
    <row r="123">
      <c r="A123" s="134"/>
      <c r="D123" s="135"/>
      <c r="F123" s="136"/>
      <c r="H123" s="134"/>
      <c r="J123" s="134"/>
    </row>
    <row r="124">
      <c r="A124" s="134"/>
      <c r="D124" s="135"/>
      <c r="F124" s="136"/>
      <c r="H124" s="134"/>
      <c r="J124" s="134"/>
    </row>
    <row r="125">
      <c r="A125" s="134"/>
      <c r="D125" s="135"/>
      <c r="F125" s="136"/>
      <c r="H125" s="134"/>
      <c r="J125" s="134"/>
    </row>
    <row r="126">
      <c r="A126" s="134"/>
      <c r="D126" s="135"/>
      <c r="F126" s="136"/>
      <c r="H126" s="134"/>
      <c r="J126" s="134"/>
    </row>
    <row r="127">
      <c r="A127" s="134"/>
      <c r="D127" s="135"/>
      <c r="F127" s="136"/>
      <c r="H127" s="134"/>
      <c r="J127" s="134"/>
    </row>
    <row r="128">
      <c r="A128" s="134"/>
      <c r="D128" s="135"/>
      <c r="F128" s="136"/>
      <c r="H128" s="134"/>
      <c r="J128" s="134"/>
    </row>
    <row r="129">
      <c r="A129" s="134"/>
      <c r="D129" s="135"/>
      <c r="F129" s="136"/>
      <c r="H129" s="134"/>
      <c r="J129" s="134"/>
    </row>
    <row r="130">
      <c r="A130" s="134"/>
      <c r="D130" s="135"/>
      <c r="F130" s="136"/>
      <c r="H130" s="134"/>
      <c r="J130" s="134"/>
    </row>
    <row r="131">
      <c r="A131" s="134"/>
      <c r="D131" s="135"/>
      <c r="F131" s="136"/>
      <c r="H131" s="134"/>
      <c r="J131" s="134"/>
    </row>
    <row r="132">
      <c r="A132" s="134"/>
      <c r="D132" s="135"/>
      <c r="F132" s="136"/>
      <c r="H132" s="134"/>
      <c r="J132" s="134"/>
    </row>
    <row r="133">
      <c r="A133" s="134"/>
      <c r="D133" s="135"/>
      <c r="F133" s="136"/>
      <c r="H133" s="134"/>
      <c r="J133" s="134"/>
    </row>
    <row r="134">
      <c r="A134" s="134"/>
      <c r="D134" s="135"/>
      <c r="F134" s="136"/>
      <c r="H134" s="134"/>
      <c r="J134" s="134"/>
    </row>
    <row r="135">
      <c r="A135" s="134"/>
      <c r="D135" s="135"/>
      <c r="F135" s="136"/>
      <c r="H135" s="134"/>
      <c r="J135" s="134"/>
    </row>
    <row r="136">
      <c r="A136" s="134"/>
      <c r="D136" s="135"/>
      <c r="F136" s="136"/>
      <c r="H136" s="134"/>
      <c r="J136" s="134"/>
    </row>
    <row r="137">
      <c r="A137" s="134"/>
      <c r="D137" s="135"/>
      <c r="F137" s="136"/>
      <c r="H137" s="134"/>
      <c r="J137" s="134"/>
    </row>
    <row r="138">
      <c r="A138" s="134"/>
      <c r="D138" s="135"/>
      <c r="F138" s="136"/>
      <c r="H138" s="134"/>
      <c r="J138" s="134"/>
    </row>
    <row r="139">
      <c r="A139" s="134"/>
      <c r="D139" s="135"/>
      <c r="F139" s="136"/>
      <c r="H139" s="134"/>
      <c r="J139" s="134"/>
    </row>
    <row r="140">
      <c r="A140" s="134"/>
      <c r="D140" s="135"/>
      <c r="F140" s="136"/>
      <c r="H140" s="134"/>
      <c r="J140" s="134"/>
    </row>
    <row r="141">
      <c r="A141" s="134"/>
      <c r="D141" s="135"/>
      <c r="F141" s="136"/>
      <c r="H141" s="134"/>
      <c r="J141" s="134"/>
    </row>
    <row r="142">
      <c r="A142" s="134"/>
      <c r="D142" s="135"/>
      <c r="F142" s="136"/>
      <c r="H142" s="134"/>
      <c r="J142" s="134"/>
    </row>
    <row r="143">
      <c r="A143" s="134"/>
      <c r="D143" s="135"/>
      <c r="F143" s="136"/>
      <c r="H143" s="134"/>
      <c r="J143" s="134"/>
    </row>
    <row r="144">
      <c r="A144" s="134"/>
      <c r="D144" s="135"/>
      <c r="F144" s="136"/>
      <c r="H144" s="134"/>
      <c r="J144" s="134"/>
    </row>
    <row r="145">
      <c r="A145" s="134"/>
      <c r="D145" s="135"/>
      <c r="F145" s="136"/>
      <c r="H145" s="134"/>
      <c r="J145" s="134"/>
    </row>
    <row r="146">
      <c r="A146" s="134"/>
      <c r="D146" s="135"/>
      <c r="F146" s="136"/>
      <c r="H146" s="134"/>
      <c r="J146" s="134"/>
    </row>
    <row r="147">
      <c r="A147" s="134"/>
      <c r="D147" s="135"/>
      <c r="F147" s="136"/>
      <c r="H147" s="134"/>
      <c r="J147" s="134"/>
    </row>
    <row r="148">
      <c r="A148" s="134"/>
      <c r="D148" s="135"/>
      <c r="F148" s="136"/>
      <c r="H148" s="134"/>
      <c r="J148" s="134"/>
    </row>
    <row r="149">
      <c r="A149" s="134"/>
      <c r="D149" s="135"/>
      <c r="F149" s="136"/>
      <c r="H149" s="134"/>
      <c r="J149" s="134"/>
    </row>
    <row r="150">
      <c r="A150" s="134"/>
      <c r="D150" s="135"/>
      <c r="F150" s="136"/>
      <c r="H150" s="134"/>
      <c r="J150" s="134"/>
    </row>
    <row r="151">
      <c r="A151" s="134"/>
      <c r="D151" s="135"/>
      <c r="F151" s="136"/>
      <c r="H151" s="134"/>
      <c r="J151" s="134"/>
    </row>
    <row r="152">
      <c r="A152" s="134"/>
      <c r="D152" s="135"/>
      <c r="F152" s="136"/>
      <c r="H152" s="134"/>
      <c r="J152" s="134"/>
    </row>
    <row r="153">
      <c r="A153" s="134"/>
      <c r="D153" s="135"/>
      <c r="F153" s="136"/>
      <c r="H153" s="134"/>
      <c r="J153" s="134"/>
    </row>
    <row r="154">
      <c r="A154" s="134"/>
      <c r="D154" s="135"/>
      <c r="F154" s="136"/>
      <c r="H154" s="134"/>
      <c r="J154" s="134"/>
    </row>
    <row r="155">
      <c r="A155" s="134"/>
      <c r="D155" s="135"/>
      <c r="F155" s="136"/>
      <c r="H155" s="134"/>
      <c r="J155" s="134"/>
    </row>
    <row r="156">
      <c r="A156" s="134"/>
      <c r="D156" s="135"/>
      <c r="F156" s="136"/>
      <c r="H156" s="134"/>
      <c r="J156" s="134"/>
    </row>
    <row r="157">
      <c r="A157" s="134"/>
      <c r="D157" s="135"/>
      <c r="F157" s="136"/>
      <c r="H157" s="134"/>
      <c r="J157" s="134"/>
    </row>
    <row r="158">
      <c r="A158" s="134"/>
      <c r="D158" s="135"/>
      <c r="F158" s="136"/>
      <c r="H158" s="134"/>
      <c r="J158" s="134"/>
    </row>
    <row r="159">
      <c r="A159" s="134"/>
      <c r="D159" s="135"/>
      <c r="F159" s="136"/>
      <c r="H159" s="134"/>
      <c r="J159" s="134"/>
    </row>
    <row r="160">
      <c r="A160" s="134"/>
      <c r="D160" s="135"/>
      <c r="F160" s="136"/>
      <c r="H160" s="134"/>
      <c r="J160" s="134"/>
    </row>
    <row r="161">
      <c r="A161" s="134"/>
      <c r="D161" s="135"/>
      <c r="F161" s="136"/>
      <c r="H161" s="134"/>
      <c r="J161" s="134"/>
    </row>
    <row r="162">
      <c r="A162" s="134"/>
      <c r="D162" s="135"/>
      <c r="F162" s="136"/>
      <c r="H162" s="134"/>
      <c r="J162" s="134"/>
    </row>
    <row r="163">
      <c r="A163" s="134"/>
      <c r="D163" s="135"/>
      <c r="F163" s="136"/>
      <c r="H163" s="134"/>
      <c r="J163" s="134"/>
    </row>
    <row r="164">
      <c r="A164" s="134"/>
      <c r="D164" s="135"/>
      <c r="F164" s="136"/>
      <c r="H164" s="134"/>
      <c r="J164" s="134"/>
    </row>
    <row r="165">
      <c r="A165" s="134"/>
      <c r="D165" s="135"/>
      <c r="F165" s="136"/>
      <c r="H165" s="134"/>
      <c r="J165" s="134"/>
    </row>
    <row r="166">
      <c r="A166" s="134"/>
      <c r="D166" s="135"/>
      <c r="F166" s="136"/>
      <c r="H166" s="134"/>
      <c r="J166" s="134"/>
    </row>
    <row r="167">
      <c r="A167" s="134"/>
      <c r="D167" s="135"/>
      <c r="F167" s="136"/>
      <c r="H167" s="134"/>
      <c r="J167" s="134"/>
    </row>
    <row r="168">
      <c r="A168" s="134"/>
      <c r="D168" s="135"/>
      <c r="F168" s="136"/>
      <c r="H168" s="134"/>
      <c r="J168" s="134"/>
    </row>
    <row r="169">
      <c r="A169" s="134"/>
      <c r="D169" s="135"/>
      <c r="F169" s="136"/>
      <c r="H169" s="134"/>
      <c r="J169" s="134"/>
    </row>
    <row r="170">
      <c r="A170" s="134"/>
      <c r="D170" s="135"/>
      <c r="F170" s="136"/>
      <c r="H170" s="134"/>
      <c r="J170" s="134"/>
    </row>
    <row r="171">
      <c r="A171" s="134"/>
      <c r="D171" s="135"/>
      <c r="F171" s="136"/>
      <c r="H171" s="134"/>
      <c r="J171" s="134"/>
    </row>
    <row r="172">
      <c r="A172" s="134"/>
      <c r="D172" s="135"/>
      <c r="F172" s="136"/>
      <c r="H172" s="134"/>
      <c r="J172" s="134"/>
    </row>
    <row r="173">
      <c r="A173" s="134"/>
      <c r="D173" s="135"/>
      <c r="F173" s="136"/>
      <c r="H173" s="134"/>
      <c r="J173" s="134"/>
    </row>
    <row r="174">
      <c r="A174" s="134"/>
      <c r="D174" s="135"/>
      <c r="F174" s="136"/>
      <c r="H174" s="134"/>
      <c r="J174" s="134"/>
    </row>
    <row r="175">
      <c r="A175" s="134"/>
      <c r="D175" s="135"/>
      <c r="F175" s="136"/>
      <c r="H175" s="134"/>
      <c r="J175" s="134"/>
    </row>
    <row r="176">
      <c r="A176" s="134"/>
      <c r="D176" s="135"/>
      <c r="F176" s="136"/>
      <c r="H176" s="134"/>
      <c r="J176" s="134"/>
    </row>
    <row r="177">
      <c r="A177" s="134"/>
      <c r="D177" s="135"/>
      <c r="F177" s="136"/>
      <c r="H177" s="134"/>
      <c r="J177" s="134"/>
    </row>
    <row r="178">
      <c r="A178" s="134"/>
      <c r="D178" s="135"/>
      <c r="F178" s="136"/>
      <c r="H178" s="134"/>
      <c r="J178" s="134"/>
    </row>
    <row r="179">
      <c r="A179" s="134"/>
      <c r="D179" s="135"/>
      <c r="F179" s="136"/>
      <c r="H179" s="134"/>
      <c r="J179" s="134"/>
    </row>
    <row r="180">
      <c r="A180" s="134"/>
      <c r="D180" s="135"/>
      <c r="F180" s="136"/>
      <c r="H180" s="134"/>
      <c r="J180" s="134"/>
    </row>
    <row r="181">
      <c r="A181" s="134"/>
      <c r="D181" s="135"/>
      <c r="F181" s="136"/>
      <c r="H181" s="134"/>
      <c r="J181" s="134"/>
    </row>
    <row r="182">
      <c r="A182" s="134"/>
      <c r="D182" s="135"/>
      <c r="F182" s="136"/>
      <c r="H182" s="134"/>
      <c r="J182" s="134"/>
    </row>
    <row r="183">
      <c r="A183" s="134"/>
      <c r="D183" s="135"/>
      <c r="F183" s="136"/>
      <c r="H183" s="134"/>
      <c r="J183" s="134"/>
    </row>
    <row r="184">
      <c r="A184" s="134"/>
      <c r="D184" s="135"/>
      <c r="F184" s="136"/>
      <c r="H184" s="134"/>
      <c r="J184" s="134"/>
    </row>
    <row r="185">
      <c r="A185" s="134"/>
      <c r="D185" s="135"/>
      <c r="F185" s="136"/>
      <c r="H185" s="134"/>
      <c r="J185" s="134"/>
    </row>
    <row r="186">
      <c r="A186" s="134"/>
      <c r="D186" s="135"/>
      <c r="F186" s="136"/>
      <c r="H186" s="134"/>
      <c r="J186" s="134"/>
    </row>
    <row r="187">
      <c r="A187" s="134"/>
      <c r="D187" s="135"/>
      <c r="F187" s="136"/>
      <c r="H187" s="134"/>
      <c r="J187" s="134"/>
    </row>
    <row r="188">
      <c r="A188" s="134"/>
      <c r="D188" s="135"/>
      <c r="F188" s="136"/>
      <c r="H188" s="134"/>
      <c r="J188" s="134"/>
    </row>
    <row r="189">
      <c r="A189" s="134"/>
      <c r="D189" s="135"/>
      <c r="F189" s="136"/>
      <c r="H189" s="134"/>
      <c r="J189" s="134"/>
    </row>
    <row r="190">
      <c r="A190" s="134"/>
      <c r="D190" s="135"/>
      <c r="F190" s="136"/>
      <c r="H190" s="134"/>
      <c r="J190" s="134"/>
    </row>
    <row r="191">
      <c r="A191" s="134"/>
      <c r="D191" s="135"/>
      <c r="F191" s="136"/>
      <c r="H191" s="134"/>
      <c r="J191" s="134"/>
    </row>
    <row r="192">
      <c r="A192" s="134"/>
      <c r="D192" s="135"/>
      <c r="F192" s="136"/>
      <c r="H192" s="134"/>
      <c r="J192" s="134"/>
    </row>
    <row r="193">
      <c r="A193" s="134"/>
      <c r="D193" s="135"/>
      <c r="F193" s="136"/>
      <c r="H193" s="134"/>
      <c r="J193" s="134"/>
    </row>
    <row r="194">
      <c r="A194" s="134"/>
      <c r="D194" s="135"/>
      <c r="F194" s="136"/>
      <c r="H194" s="134"/>
      <c r="J194" s="134"/>
    </row>
    <row r="195">
      <c r="A195" s="134"/>
      <c r="D195" s="135"/>
      <c r="F195" s="136"/>
      <c r="H195" s="134"/>
      <c r="J195" s="134"/>
    </row>
    <row r="196">
      <c r="A196" s="134"/>
      <c r="D196" s="135"/>
      <c r="F196" s="136"/>
      <c r="H196" s="134"/>
      <c r="J196" s="134"/>
    </row>
    <row r="197">
      <c r="A197" s="134"/>
      <c r="D197" s="135"/>
      <c r="F197" s="136"/>
      <c r="H197" s="134"/>
      <c r="J197" s="134"/>
    </row>
    <row r="198">
      <c r="A198" s="134"/>
      <c r="D198" s="135"/>
      <c r="F198" s="136"/>
      <c r="H198" s="134"/>
      <c r="J198" s="134"/>
    </row>
    <row r="199">
      <c r="A199" s="134"/>
      <c r="D199" s="135"/>
      <c r="F199" s="136"/>
      <c r="H199" s="134"/>
      <c r="J199" s="134"/>
    </row>
    <row r="200">
      <c r="A200" s="134"/>
      <c r="D200" s="135"/>
      <c r="F200" s="136"/>
      <c r="H200" s="134"/>
      <c r="J200" s="134"/>
    </row>
    <row r="201">
      <c r="A201" s="134"/>
      <c r="D201" s="135"/>
      <c r="F201" s="136"/>
      <c r="H201" s="134"/>
      <c r="J201" s="134"/>
    </row>
    <row r="202">
      <c r="A202" s="134"/>
      <c r="D202" s="135"/>
      <c r="F202" s="136"/>
      <c r="H202" s="134"/>
      <c r="J202" s="134"/>
    </row>
    <row r="203">
      <c r="A203" s="134"/>
      <c r="D203" s="135"/>
      <c r="F203" s="136"/>
      <c r="H203" s="134"/>
      <c r="J203" s="134"/>
    </row>
    <row r="204">
      <c r="A204" s="134"/>
      <c r="D204" s="135"/>
      <c r="F204" s="136"/>
      <c r="H204" s="134"/>
      <c r="J204" s="134"/>
    </row>
    <row r="205">
      <c r="A205" s="134"/>
      <c r="D205" s="135"/>
      <c r="F205" s="136"/>
      <c r="H205" s="134"/>
      <c r="J205" s="134"/>
    </row>
    <row r="206">
      <c r="A206" s="134"/>
      <c r="D206" s="135"/>
      <c r="F206" s="136"/>
      <c r="H206" s="134"/>
      <c r="J206" s="134"/>
    </row>
    <row r="207">
      <c r="A207" s="134"/>
      <c r="D207" s="135"/>
      <c r="F207" s="136"/>
      <c r="H207" s="134"/>
      <c r="J207" s="134"/>
    </row>
    <row r="208">
      <c r="A208" s="134"/>
      <c r="D208" s="135"/>
      <c r="F208" s="136"/>
      <c r="H208" s="134"/>
      <c r="J208" s="134"/>
    </row>
    <row r="209">
      <c r="A209" s="134"/>
      <c r="D209" s="135"/>
      <c r="F209" s="136"/>
      <c r="H209" s="134"/>
      <c r="J209" s="134"/>
    </row>
    <row r="210">
      <c r="A210" s="134"/>
      <c r="D210" s="135"/>
      <c r="F210" s="136"/>
      <c r="H210" s="134"/>
      <c r="J210" s="134"/>
    </row>
    <row r="211">
      <c r="A211" s="134"/>
      <c r="D211" s="135"/>
      <c r="F211" s="136"/>
      <c r="H211" s="134"/>
      <c r="J211" s="134"/>
    </row>
    <row r="212">
      <c r="A212" s="134"/>
      <c r="D212" s="135"/>
      <c r="F212" s="136"/>
      <c r="H212" s="134"/>
      <c r="J212" s="134"/>
    </row>
    <row r="213">
      <c r="A213" s="134"/>
      <c r="D213" s="135"/>
      <c r="F213" s="136"/>
      <c r="H213" s="134"/>
      <c r="J213" s="134"/>
    </row>
    <row r="214">
      <c r="A214" s="134"/>
      <c r="D214" s="135"/>
      <c r="F214" s="136"/>
      <c r="H214" s="134"/>
      <c r="J214" s="134"/>
    </row>
    <row r="215">
      <c r="A215" s="134"/>
      <c r="D215" s="135"/>
      <c r="F215" s="136"/>
      <c r="H215" s="134"/>
      <c r="J215" s="134"/>
    </row>
    <row r="216">
      <c r="A216" s="134"/>
      <c r="D216" s="135"/>
      <c r="F216" s="136"/>
      <c r="H216" s="134"/>
      <c r="J216" s="134"/>
    </row>
    <row r="217">
      <c r="A217" s="134"/>
      <c r="D217" s="135"/>
      <c r="F217" s="136"/>
      <c r="H217" s="134"/>
      <c r="J217" s="134"/>
    </row>
    <row r="218">
      <c r="A218" s="134"/>
      <c r="D218" s="135"/>
      <c r="F218" s="136"/>
      <c r="H218" s="134"/>
      <c r="J218" s="134"/>
    </row>
    <row r="219">
      <c r="A219" s="134"/>
      <c r="D219" s="135"/>
      <c r="F219" s="136"/>
      <c r="H219" s="134"/>
      <c r="J219" s="134"/>
    </row>
    <row r="220">
      <c r="A220" s="134"/>
      <c r="D220" s="135"/>
      <c r="F220" s="136"/>
      <c r="H220" s="134"/>
      <c r="J220" s="134"/>
    </row>
    <row r="221">
      <c r="A221" s="134"/>
      <c r="D221" s="135"/>
      <c r="F221" s="136"/>
      <c r="H221" s="134"/>
      <c r="J221" s="134"/>
    </row>
    <row r="222">
      <c r="A222" s="134"/>
      <c r="D222" s="135"/>
      <c r="F222" s="136"/>
      <c r="H222" s="134"/>
      <c r="J222" s="134"/>
    </row>
    <row r="223">
      <c r="A223" s="134"/>
      <c r="D223" s="135"/>
      <c r="F223" s="136"/>
      <c r="H223" s="134"/>
      <c r="J223" s="134"/>
    </row>
    <row r="224">
      <c r="A224" s="134"/>
      <c r="D224" s="135"/>
      <c r="F224" s="136"/>
      <c r="H224" s="134"/>
      <c r="J224" s="134"/>
    </row>
    <row r="225">
      <c r="A225" s="134"/>
      <c r="D225" s="135"/>
      <c r="F225" s="136"/>
      <c r="H225" s="134"/>
      <c r="J225" s="134"/>
    </row>
    <row r="226">
      <c r="A226" s="134"/>
      <c r="D226" s="135"/>
      <c r="F226" s="136"/>
      <c r="H226" s="134"/>
      <c r="J226" s="134"/>
    </row>
    <row r="227">
      <c r="A227" s="134"/>
      <c r="D227" s="135"/>
      <c r="F227" s="136"/>
      <c r="H227" s="134"/>
      <c r="J227" s="134"/>
    </row>
    <row r="228">
      <c r="A228" s="134"/>
      <c r="D228" s="135"/>
      <c r="F228" s="136"/>
      <c r="H228" s="134"/>
      <c r="J228" s="134"/>
    </row>
    <row r="229">
      <c r="A229" s="134"/>
      <c r="D229" s="135"/>
      <c r="F229" s="136"/>
      <c r="H229" s="134"/>
      <c r="J229" s="134"/>
    </row>
    <row r="230">
      <c r="A230" s="134"/>
      <c r="D230" s="135"/>
      <c r="F230" s="136"/>
      <c r="H230" s="134"/>
      <c r="J230" s="134"/>
    </row>
    <row r="231">
      <c r="A231" s="134"/>
      <c r="D231" s="135"/>
      <c r="F231" s="136"/>
      <c r="H231" s="134"/>
      <c r="J231" s="134"/>
    </row>
    <row r="232">
      <c r="A232" s="134"/>
      <c r="D232" s="135"/>
      <c r="F232" s="136"/>
      <c r="H232" s="134"/>
      <c r="J232" s="134"/>
    </row>
    <row r="233">
      <c r="A233" s="134"/>
      <c r="D233" s="135"/>
      <c r="F233" s="136"/>
      <c r="H233" s="134"/>
      <c r="J233" s="134"/>
    </row>
    <row r="234">
      <c r="A234" s="134"/>
      <c r="D234" s="135"/>
      <c r="F234" s="136"/>
      <c r="H234" s="134"/>
      <c r="J234" s="134"/>
    </row>
    <row r="235">
      <c r="A235" s="134"/>
      <c r="D235" s="135"/>
      <c r="F235" s="136"/>
      <c r="H235" s="134"/>
      <c r="J235" s="134"/>
    </row>
    <row r="236">
      <c r="A236" s="134"/>
      <c r="D236" s="135"/>
      <c r="F236" s="136"/>
      <c r="H236" s="134"/>
      <c r="J236" s="134"/>
    </row>
    <row r="237">
      <c r="A237" s="134"/>
      <c r="D237" s="135"/>
      <c r="F237" s="136"/>
      <c r="H237" s="134"/>
      <c r="J237" s="134"/>
    </row>
    <row r="238">
      <c r="A238" s="134"/>
      <c r="D238" s="135"/>
      <c r="F238" s="136"/>
      <c r="H238" s="134"/>
      <c r="J238" s="134"/>
    </row>
    <row r="239">
      <c r="A239" s="134"/>
      <c r="D239" s="135"/>
      <c r="F239" s="136"/>
      <c r="H239" s="134"/>
      <c r="J239" s="134"/>
    </row>
    <row r="240">
      <c r="A240" s="134"/>
      <c r="D240" s="135"/>
      <c r="F240" s="136"/>
      <c r="H240" s="134"/>
      <c r="J240" s="134"/>
    </row>
    <row r="241">
      <c r="A241" s="134"/>
      <c r="D241" s="135"/>
      <c r="F241" s="136"/>
      <c r="H241" s="134"/>
      <c r="J241" s="134"/>
    </row>
    <row r="242">
      <c r="A242" s="134"/>
      <c r="D242" s="135"/>
      <c r="F242" s="136"/>
      <c r="H242" s="134"/>
      <c r="J242" s="134"/>
    </row>
    <row r="243">
      <c r="A243" s="134"/>
      <c r="D243" s="135"/>
      <c r="F243" s="136"/>
      <c r="H243" s="134"/>
      <c r="J243" s="134"/>
    </row>
    <row r="244">
      <c r="A244" s="134"/>
      <c r="D244" s="135"/>
      <c r="F244" s="136"/>
      <c r="H244" s="134"/>
      <c r="J244" s="134"/>
    </row>
    <row r="245">
      <c r="A245" s="134"/>
      <c r="D245" s="135"/>
      <c r="F245" s="136"/>
      <c r="H245" s="134"/>
      <c r="J245" s="134"/>
    </row>
    <row r="246">
      <c r="A246" s="134"/>
      <c r="D246" s="135"/>
      <c r="F246" s="136"/>
      <c r="H246" s="134"/>
      <c r="J246" s="134"/>
    </row>
    <row r="247">
      <c r="A247" s="134"/>
      <c r="D247" s="135"/>
      <c r="F247" s="136"/>
      <c r="H247" s="134"/>
      <c r="J247" s="134"/>
    </row>
    <row r="248">
      <c r="A248" s="134"/>
      <c r="D248" s="135"/>
      <c r="F248" s="136"/>
      <c r="H248" s="134"/>
      <c r="J248" s="134"/>
    </row>
    <row r="249">
      <c r="A249" s="134"/>
      <c r="D249" s="135"/>
      <c r="F249" s="136"/>
      <c r="H249" s="134"/>
      <c r="J249" s="134"/>
    </row>
    <row r="250">
      <c r="A250" s="134"/>
      <c r="D250" s="135"/>
      <c r="F250" s="136"/>
      <c r="H250" s="134"/>
      <c r="J250" s="134"/>
    </row>
    <row r="251">
      <c r="A251" s="134"/>
      <c r="D251" s="135"/>
      <c r="F251" s="136"/>
      <c r="H251" s="134"/>
      <c r="J251" s="134"/>
    </row>
    <row r="252">
      <c r="A252" s="134"/>
      <c r="D252" s="135"/>
      <c r="F252" s="136"/>
      <c r="H252" s="134"/>
      <c r="J252" s="134"/>
    </row>
    <row r="253">
      <c r="A253" s="134"/>
      <c r="D253" s="135"/>
      <c r="F253" s="136"/>
      <c r="H253" s="134"/>
      <c r="J253" s="134"/>
    </row>
    <row r="254">
      <c r="A254" s="134"/>
      <c r="D254" s="135"/>
      <c r="F254" s="136"/>
      <c r="H254" s="134"/>
      <c r="J254" s="134"/>
    </row>
    <row r="255">
      <c r="A255" s="134"/>
      <c r="D255" s="135"/>
      <c r="F255" s="136"/>
      <c r="H255" s="134"/>
      <c r="J255" s="134"/>
    </row>
    <row r="256">
      <c r="A256" s="134"/>
      <c r="D256" s="135"/>
      <c r="F256" s="136"/>
      <c r="H256" s="134"/>
      <c r="J256" s="134"/>
    </row>
    <row r="257">
      <c r="A257" s="134"/>
      <c r="D257" s="135"/>
      <c r="F257" s="136"/>
      <c r="H257" s="134"/>
      <c r="J257" s="134"/>
    </row>
    <row r="258">
      <c r="A258" s="134"/>
      <c r="D258" s="135"/>
      <c r="F258" s="136"/>
      <c r="H258" s="134"/>
      <c r="J258" s="134"/>
    </row>
    <row r="259">
      <c r="A259" s="134"/>
      <c r="D259" s="135"/>
      <c r="F259" s="136"/>
      <c r="H259" s="134"/>
      <c r="J259" s="134"/>
    </row>
    <row r="260">
      <c r="A260" s="134"/>
      <c r="D260" s="135"/>
      <c r="F260" s="136"/>
      <c r="H260" s="134"/>
      <c r="J260" s="134"/>
    </row>
    <row r="261">
      <c r="A261" s="134"/>
      <c r="D261" s="135"/>
      <c r="F261" s="136"/>
      <c r="H261" s="134"/>
      <c r="J261" s="134"/>
    </row>
    <row r="262">
      <c r="A262" s="134"/>
      <c r="D262" s="135"/>
      <c r="F262" s="136"/>
      <c r="H262" s="134"/>
      <c r="J262" s="134"/>
    </row>
    <row r="263">
      <c r="A263" s="134"/>
      <c r="D263" s="135"/>
      <c r="F263" s="136"/>
      <c r="H263" s="134"/>
      <c r="J263" s="134"/>
    </row>
    <row r="264">
      <c r="A264" s="134"/>
      <c r="D264" s="135"/>
      <c r="F264" s="136"/>
      <c r="H264" s="134"/>
      <c r="J264" s="134"/>
    </row>
    <row r="265">
      <c r="A265" s="134"/>
      <c r="D265" s="135"/>
      <c r="F265" s="136"/>
      <c r="H265" s="134"/>
      <c r="J265" s="134"/>
    </row>
    <row r="266">
      <c r="A266" s="134"/>
      <c r="D266" s="135"/>
      <c r="F266" s="136"/>
      <c r="H266" s="134"/>
      <c r="J266" s="134"/>
    </row>
    <row r="267">
      <c r="A267" s="134"/>
      <c r="D267" s="135"/>
      <c r="F267" s="136"/>
      <c r="H267" s="134"/>
      <c r="J267" s="134"/>
    </row>
    <row r="268">
      <c r="A268" s="134"/>
      <c r="D268" s="135"/>
      <c r="F268" s="136"/>
      <c r="H268" s="134"/>
      <c r="J268" s="134"/>
    </row>
    <row r="269">
      <c r="A269" s="134"/>
      <c r="D269" s="135"/>
      <c r="F269" s="136"/>
      <c r="H269" s="134"/>
      <c r="J269" s="134"/>
    </row>
    <row r="270">
      <c r="A270" s="134"/>
      <c r="D270" s="135"/>
      <c r="F270" s="136"/>
      <c r="H270" s="134"/>
      <c r="J270" s="134"/>
    </row>
    <row r="271">
      <c r="A271" s="134"/>
      <c r="D271" s="135"/>
      <c r="F271" s="136"/>
      <c r="H271" s="134"/>
      <c r="J271" s="134"/>
    </row>
    <row r="272">
      <c r="A272" s="134"/>
      <c r="D272" s="135"/>
      <c r="F272" s="136"/>
      <c r="H272" s="134"/>
      <c r="J272" s="134"/>
    </row>
    <row r="273">
      <c r="A273" s="134"/>
      <c r="D273" s="135"/>
      <c r="F273" s="136"/>
      <c r="H273" s="134"/>
      <c r="J273" s="134"/>
    </row>
    <row r="274">
      <c r="A274" s="134"/>
      <c r="D274" s="135"/>
      <c r="F274" s="136"/>
      <c r="H274" s="134"/>
      <c r="J274" s="134"/>
    </row>
    <row r="275">
      <c r="A275" s="134"/>
      <c r="D275" s="135"/>
      <c r="F275" s="136"/>
      <c r="H275" s="134"/>
      <c r="J275" s="134"/>
    </row>
    <row r="276">
      <c r="A276" s="134"/>
      <c r="D276" s="135"/>
      <c r="F276" s="136"/>
      <c r="H276" s="134"/>
      <c r="J276" s="134"/>
    </row>
    <row r="277">
      <c r="A277" s="134"/>
      <c r="D277" s="135"/>
      <c r="F277" s="136"/>
      <c r="H277" s="134"/>
      <c r="J277" s="134"/>
    </row>
    <row r="278">
      <c r="A278" s="134"/>
      <c r="D278" s="135"/>
      <c r="F278" s="136"/>
      <c r="H278" s="134"/>
      <c r="J278" s="134"/>
    </row>
    <row r="279">
      <c r="A279" s="134"/>
      <c r="D279" s="135"/>
      <c r="F279" s="136"/>
      <c r="H279" s="134"/>
      <c r="J279" s="134"/>
    </row>
    <row r="280">
      <c r="A280" s="134"/>
      <c r="D280" s="135"/>
      <c r="F280" s="136"/>
      <c r="H280" s="134"/>
      <c r="J280" s="134"/>
    </row>
    <row r="281">
      <c r="A281" s="134"/>
      <c r="D281" s="135"/>
      <c r="F281" s="136"/>
      <c r="H281" s="134"/>
      <c r="J281" s="134"/>
    </row>
    <row r="282">
      <c r="A282" s="134"/>
      <c r="D282" s="135"/>
      <c r="F282" s="136"/>
      <c r="H282" s="134"/>
      <c r="J282" s="134"/>
    </row>
    <row r="283">
      <c r="A283" s="134"/>
      <c r="D283" s="135"/>
      <c r="F283" s="136"/>
      <c r="H283" s="134"/>
      <c r="J283" s="134"/>
    </row>
    <row r="284">
      <c r="A284" s="134"/>
      <c r="D284" s="135"/>
      <c r="F284" s="136"/>
      <c r="H284" s="134"/>
      <c r="J284" s="134"/>
    </row>
    <row r="285">
      <c r="A285" s="134"/>
      <c r="D285" s="135"/>
      <c r="F285" s="136"/>
      <c r="H285" s="134"/>
      <c r="J285" s="134"/>
    </row>
    <row r="286">
      <c r="A286" s="134"/>
      <c r="D286" s="135"/>
      <c r="F286" s="136"/>
      <c r="H286" s="134"/>
      <c r="J286" s="134"/>
    </row>
    <row r="287">
      <c r="A287" s="134"/>
      <c r="D287" s="135"/>
      <c r="F287" s="136"/>
      <c r="H287" s="134"/>
      <c r="J287" s="134"/>
    </row>
    <row r="288">
      <c r="A288" s="134"/>
      <c r="D288" s="135"/>
      <c r="F288" s="136"/>
      <c r="H288" s="134"/>
      <c r="J288" s="134"/>
    </row>
    <row r="289">
      <c r="A289" s="134"/>
      <c r="D289" s="135"/>
      <c r="F289" s="136"/>
      <c r="H289" s="134"/>
      <c r="J289" s="134"/>
    </row>
    <row r="290">
      <c r="A290" s="134"/>
      <c r="D290" s="135"/>
      <c r="F290" s="136"/>
      <c r="H290" s="134"/>
      <c r="J290" s="134"/>
    </row>
    <row r="291">
      <c r="A291" s="134"/>
      <c r="D291" s="135"/>
      <c r="F291" s="136"/>
      <c r="H291" s="134"/>
      <c r="J291" s="134"/>
    </row>
    <row r="292">
      <c r="A292" s="134"/>
      <c r="D292" s="135"/>
      <c r="F292" s="136"/>
      <c r="H292" s="134"/>
      <c r="J292" s="134"/>
    </row>
    <row r="293">
      <c r="A293" s="134"/>
      <c r="D293" s="135"/>
      <c r="F293" s="136"/>
      <c r="H293" s="134"/>
      <c r="J293" s="134"/>
    </row>
    <row r="294">
      <c r="A294" s="134"/>
      <c r="D294" s="135"/>
      <c r="F294" s="136"/>
      <c r="H294" s="134"/>
      <c r="J294" s="134"/>
    </row>
    <row r="295">
      <c r="A295" s="134"/>
      <c r="D295" s="135"/>
      <c r="F295" s="136"/>
      <c r="H295" s="134"/>
      <c r="J295" s="134"/>
    </row>
    <row r="296">
      <c r="A296" s="134"/>
      <c r="D296" s="135"/>
      <c r="F296" s="136"/>
      <c r="H296" s="134"/>
      <c r="J296" s="134"/>
    </row>
    <row r="297">
      <c r="A297" s="134"/>
      <c r="D297" s="135"/>
      <c r="F297" s="136"/>
      <c r="H297" s="134"/>
      <c r="J297" s="134"/>
    </row>
    <row r="298">
      <c r="A298" s="134"/>
      <c r="D298" s="135"/>
      <c r="F298" s="136"/>
      <c r="H298" s="134"/>
      <c r="J298" s="134"/>
    </row>
    <row r="299">
      <c r="A299" s="134"/>
      <c r="D299" s="135"/>
      <c r="F299" s="136"/>
      <c r="H299" s="134"/>
      <c r="J299" s="134"/>
    </row>
    <row r="300">
      <c r="A300" s="134"/>
      <c r="D300" s="135"/>
      <c r="F300" s="136"/>
      <c r="H300" s="134"/>
      <c r="J300" s="134"/>
    </row>
    <row r="301">
      <c r="A301" s="134"/>
      <c r="D301" s="135"/>
      <c r="F301" s="136"/>
      <c r="H301" s="134"/>
      <c r="J301" s="134"/>
    </row>
    <row r="302">
      <c r="A302" s="134"/>
      <c r="D302" s="135"/>
      <c r="F302" s="136"/>
      <c r="H302" s="134"/>
      <c r="J302" s="134"/>
    </row>
    <row r="303">
      <c r="A303" s="134"/>
      <c r="D303" s="135"/>
      <c r="F303" s="136"/>
      <c r="H303" s="134"/>
      <c r="J303" s="134"/>
    </row>
    <row r="304">
      <c r="A304" s="134"/>
      <c r="D304" s="135"/>
      <c r="F304" s="136"/>
      <c r="H304" s="134"/>
      <c r="J304" s="134"/>
    </row>
    <row r="305">
      <c r="A305" s="134"/>
      <c r="D305" s="135"/>
      <c r="F305" s="136"/>
      <c r="H305" s="134"/>
      <c r="J305" s="134"/>
    </row>
    <row r="306">
      <c r="A306" s="134"/>
      <c r="D306" s="135"/>
      <c r="F306" s="136"/>
      <c r="H306" s="134"/>
      <c r="J306" s="134"/>
    </row>
    <row r="307">
      <c r="A307" s="134"/>
      <c r="D307" s="135"/>
      <c r="F307" s="136"/>
      <c r="H307" s="134"/>
      <c r="J307" s="134"/>
    </row>
    <row r="308">
      <c r="A308" s="134"/>
      <c r="D308" s="135"/>
      <c r="F308" s="136"/>
      <c r="H308" s="134"/>
      <c r="J308" s="134"/>
    </row>
    <row r="309">
      <c r="A309" s="134"/>
      <c r="D309" s="135"/>
      <c r="F309" s="136"/>
      <c r="H309" s="134"/>
      <c r="J309" s="134"/>
    </row>
    <row r="310">
      <c r="A310" s="134"/>
      <c r="D310" s="135"/>
      <c r="F310" s="136"/>
      <c r="H310" s="134"/>
      <c r="J310" s="134"/>
    </row>
    <row r="311">
      <c r="A311" s="134"/>
      <c r="D311" s="135"/>
      <c r="F311" s="136"/>
      <c r="H311" s="134"/>
      <c r="J311" s="134"/>
    </row>
    <row r="312">
      <c r="A312" s="134"/>
      <c r="D312" s="135"/>
      <c r="F312" s="136"/>
      <c r="H312" s="134"/>
      <c r="J312" s="134"/>
    </row>
    <row r="313">
      <c r="A313" s="134"/>
      <c r="D313" s="135"/>
      <c r="F313" s="136"/>
      <c r="H313" s="134"/>
      <c r="J313" s="134"/>
    </row>
    <row r="314">
      <c r="A314" s="134"/>
      <c r="D314" s="135"/>
      <c r="F314" s="136"/>
      <c r="H314" s="134"/>
      <c r="J314" s="134"/>
    </row>
    <row r="315">
      <c r="A315" s="134"/>
      <c r="D315" s="135"/>
      <c r="F315" s="136"/>
      <c r="H315" s="134"/>
      <c r="J315" s="134"/>
    </row>
    <row r="316">
      <c r="A316" s="134"/>
      <c r="D316" s="135"/>
      <c r="F316" s="136"/>
      <c r="H316" s="134"/>
      <c r="J316" s="134"/>
    </row>
    <row r="317">
      <c r="A317" s="134"/>
      <c r="D317" s="135"/>
      <c r="F317" s="136"/>
      <c r="H317" s="134"/>
      <c r="J317" s="134"/>
    </row>
    <row r="318">
      <c r="A318" s="134"/>
      <c r="D318" s="135"/>
      <c r="F318" s="136"/>
      <c r="H318" s="134"/>
      <c r="J318" s="134"/>
    </row>
    <row r="319">
      <c r="A319" s="134"/>
      <c r="D319" s="135"/>
      <c r="F319" s="136"/>
      <c r="H319" s="134"/>
      <c r="J319" s="134"/>
    </row>
    <row r="320">
      <c r="A320" s="134"/>
      <c r="D320" s="135"/>
      <c r="F320" s="136"/>
      <c r="H320" s="134"/>
      <c r="J320" s="134"/>
    </row>
    <row r="321">
      <c r="A321" s="134"/>
      <c r="D321" s="135"/>
      <c r="F321" s="136"/>
      <c r="H321" s="134"/>
      <c r="J321" s="134"/>
    </row>
    <row r="322">
      <c r="A322" s="134"/>
      <c r="D322" s="135"/>
      <c r="F322" s="136"/>
      <c r="H322" s="134"/>
      <c r="J322" s="134"/>
    </row>
    <row r="323">
      <c r="A323" s="134"/>
      <c r="D323" s="135"/>
      <c r="F323" s="136"/>
      <c r="H323" s="134"/>
      <c r="J323" s="134"/>
    </row>
    <row r="324">
      <c r="A324" s="134"/>
      <c r="D324" s="135"/>
      <c r="F324" s="136"/>
      <c r="H324" s="134"/>
      <c r="J324" s="134"/>
    </row>
    <row r="325">
      <c r="A325" s="134"/>
      <c r="D325" s="135"/>
      <c r="F325" s="136"/>
      <c r="H325" s="134"/>
      <c r="J325" s="134"/>
    </row>
    <row r="326">
      <c r="A326" s="134"/>
      <c r="D326" s="135"/>
      <c r="F326" s="136"/>
      <c r="H326" s="134"/>
      <c r="J326" s="134"/>
    </row>
    <row r="327">
      <c r="A327" s="134"/>
      <c r="D327" s="135"/>
      <c r="F327" s="136"/>
      <c r="H327" s="134"/>
      <c r="J327" s="134"/>
    </row>
    <row r="328">
      <c r="A328" s="134"/>
      <c r="D328" s="135"/>
      <c r="F328" s="136"/>
      <c r="H328" s="134"/>
      <c r="J328" s="134"/>
    </row>
    <row r="329">
      <c r="A329" s="134"/>
      <c r="D329" s="135"/>
      <c r="F329" s="136"/>
      <c r="H329" s="134"/>
      <c r="J329" s="134"/>
    </row>
    <row r="330">
      <c r="A330" s="134"/>
      <c r="D330" s="135"/>
      <c r="F330" s="136"/>
      <c r="H330" s="134"/>
      <c r="J330" s="134"/>
    </row>
    <row r="331">
      <c r="A331" s="134"/>
      <c r="D331" s="135"/>
      <c r="F331" s="136"/>
      <c r="H331" s="134"/>
      <c r="J331" s="134"/>
    </row>
    <row r="332">
      <c r="A332" s="134"/>
      <c r="D332" s="135"/>
      <c r="F332" s="136"/>
      <c r="H332" s="134"/>
      <c r="J332" s="134"/>
    </row>
    <row r="333">
      <c r="A333" s="134"/>
      <c r="D333" s="135"/>
      <c r="F333" s="136"/>
      <c r="H333" s="134"/>
      <c r="J333" s="134"/>
    </row>
    <row r="334">
      <c r="A334" s="134"/>
      <c r="D334" s="135"/>
      <c r="F334" s="136"/>
      <c r="H334" s="134"/>
      <c r="J334" s="134"/>
    </row>
    <row r="335">
      <c r="A335" s="134"/>
      <c r="D335" s="135"/>
      <c r="F335" s="136"/>
      <c r="H335" s="134"/>
      <c r="J335" s="134"/>
    </row>
    <row r="336">
      <c r="A336" s="134"/>
      <c r="D336" s="135"/>
      <c r="F336" s="136"/>
      <c r="H336" s="134"/>
      <c r="J336" s="134"/>
    </row>
    <row r="337">
      <c r="A337" s="134"/>
      <c r="D337" s="135"/>
      <c r="F337" s="136"/>
      <c r="H337" s="134"/>
      <c r="J337" s="134"/>
    </row>
    <row r="338">
      <c r="A338" s="134"/>
      <c r="D338" s="135"/>
      <c r="F338" s="136"/>
      <c r="H338" s="134"/>
      <c r="J338" s="134"/>
    </row>
    <row r="339">
      <c r="A339" s="134"/>
      <c r="D339" s="135"/>
      <c r="F339" s="136"/>
      <c r="H339" s="134"/>
      <c r="J339" s="134"/>
    </row>
    <row r="340">
      <c r="A340" s="134"/>
      <c r="D340" s="135"/>
      <c r="F340" s="136"/>
      <c r="H340" s="134"/>
      <c r="J340" s="134"/>
    </row>
    <row r="341">
      <c r="A341" s="134"/>
      <c r="D341" s="135"/>
      <c r="F341" s="136"/>
      <c r="H341" s="134"/>
      <c r="J341" s="134"/>
    </row>
    <row r="342">
      <c r="A342" s="134"/>
      <c r="D342" s="135"/>
      <c r="F342" s="136"/>
      <c r="H342" s="134"/>
      <c r="J342" s="134"/>
    </row>
    <row r="343">
      <c r="A343" s="134"/>
      <c r="D343" s="135"/>
      <c r="F343" s="136"/>
      <c r="H343" s="134"/>
      <c r="J343" s="134"/>
    </row>
    <row r="344">
      <c r="A344" s="134"/>
      <c r="D344" s="135"/>
      <c r="F344" s="136"/>
      <c r="H344" s="134"/>
      <c r="J344" s="134"/>
    </row>
    <row r="345">
      <c r="A345" s="134"/>
      <c r="D345" s="135"/>
      <c r="F345" s="136"/>
      <c r="H345" s="134"/>
      <c r="J345" s="134"/>
    </row>
    <row r="346">
      <c r="A346" s="134"/>
      <c r="D346" s="135"/>
      <c r="F346" s="136"/>
      <c r="H346" s="134"/>
      <c r="J346" s="134"/>
    </row>
    <row r="347">
      <c r="A347" s="134"/>
      <c r="D347" s="135"/>
      <c r="F347" s="136"/>
      <c r="H347" s="134"/>
      <c r="J347" s="134"/>
    </row>
    <row r="348">
      <c r="A348" s="134"/>
      <c r="D348" s="135"/>
      <c r="F348" s="136"/>
      <c r="H348" s="134"/>
      <c r="J348" s="134"/>
    </row>
    <row r="349">
      <c r="A349" s="134"/>
      <c r="D349" s="135"/>
      <c r="F349" s="136"/>
      <c r="H349" s="134"/>
      <c r="J349" s="134"/>
    </row>
    <row r="350">
      <c r="A350" s="134"/>
      <c r="D350" s="135"/>
      <c r="F350" s="136"/>
      <c r="H350" s="134"/>
      <c r="J350" s="134"/>
    </row>
    <row r="351">
      <c r="A351" s="134"/>
      <c r="D351" s="135"/>
      <c r="F351" s="136"/>
      <c r="H351" s="134"/>
      <c r="J351" s="134"/>
    </row>
    <row r="352">
      <c r="A352" s="134"/>
      <c r="D352" s="135"/>
      <c r="F352" s="136"/>
      <c r="H352" s="134"/>
      <c r="J352" s="134"/>
    </row>
    <row r="353">
      <c r="A353" s="134"/>
      <c r="D353" s="135"/>
      <c r="F353" s="136"/>
      <c r="H353" s="134"/>
      <c r="J353" s="134"/>
    </row>
    <row r="354">
      <c r="A354" s="134"/>
      <c r="D354" s="135"/>
      <c r="F354" s="136"/>
      <c r="H354" s="134"/>
      <c r="J354" s="134"/>
    </row>
    <row r="355">
      <c r="A355" s="134"/>
      <c r="D355" s="135"/>
      <c r="F355" s="136"/>
      <c r="H355" s="134"/>
      <c r="J355" s="134"/>
    </row>
    <row r="356">
      <c r="A356" s="134"/>
      <c r="D356" s="135"/>
      <c r="F356" s="136"/>
      <c r="H356" s="134"/>
      <c r="J356" s="134"/>
    </row>
    <row r="357">
      <c r="A357" s="134"/>
      <c r="D357" s="135"/>
      <c r="F357" s="136"/>
      <c r="H357" s="134"/>
      <c r="J357" s="134"/>
    </row>
    <row r="358">
      <c r="A358" s="134"/>
      <c r="D358" s="135"/>
      <c r="F358" s="136"/>
      <c r="H358" s="134"/>
      <c r="J358" s="134"/>
    </row>
    <row r="359">
      <c r="A359" s="134"/>
      <c r="D359" s="135"/>
      <c r="F359" s="136"/>
      <c r="H359" s="134"/>
      <c r="J359" s="134"/>
    </row>
    <row r="360">
      <c r="A360" s="134"/>
      <c r="D360" s="135"/>
      <c r="F360" s="136"/>
      <c r="H360" s="134"/>
      <c r="J360" s="134"/>
    </row>
    <row r="361">
      <c r="A361" s="134"/>
      <c r="D361" s="135"/>
      <c r="F361" s="136"/>
      <c r="H361" s="134"/>
      <c r="J361" s="134"/>
    </row>
    <row r="362">
      <c r="A362" s="134"/>
      <c r="D362" s="135"/>
      <c r="F362" s="136"/>
      <c r="H362" s="134"/>
      <c r="J362" s="134"/>
    </row>
    <row r="363">
      <c r="A363" s="134"/>
      <c r="D363" s="135"/>
      <c r="F363" s="136"/>
      <c r="H363" s="134"/>
      <c r="J363" s="134"/>
    </row>
    <row r="364">
      <c r="A364" s="134"/>
      <c r="D364" s="135"/>
      <c r="F364" s="136"/>
      <c r="H364" s="134"/>
      <c r="J364" s="134"/>
    </row>
    <row r="365">
      <c r="A365" s="134"/>
      <c r="D365" s="135"/>
      <c r="F365" s="136"/>
      <c r="H365" s="134"/>
      <c r="J365" s="134"/>
    </row>
    <row r="366">
      <c r="A366" s="134"/>
      <c r="D366" s="135"/>
      <c r="F366" s="136"/>
      <c r="H366" s="134"/>
      <c r="J366" s="134"/>
    </row>
    <row r="367">
      <c r="A367" s="134"/>
      <c r="D367" s="135"/>
      <c r="F367" s="136"/>
      <c r="H367" s="134"/>
      <c r="J367" s="134"/>
    </row>
    <row r="368">
      <c r="A368" s="134"/>
      <c r="D368" s="135"/>
      <c r="F368" s="136"/>
      <c r="H368" s="134"/>
      <c r="J368" s="134"/>
    </row>
    <row r="369">
      <c r="A369" s="134"/>
      <c r="D369" s="135"/>
      <c r="F369" s="136"/>
      <c r="H369" s="134"/>
      <c r="J369" s="134"/>
    </row>
    <row r="370">
      <c r="A370" s="134"/>
      <c r="D370" s="135"/>
      <c r="F370" s="136"/>
      <c r="H370" s="134"/>
      <c r="J370" s="134"/>
    </row>
    <row r="371">
      <c r="A371" s="134"/>
      <c r="D371" s="135"/>
      <c r="F371" s="136"/>
      <c r="H371" s="134"/>
      <c r="J371" s="134"/>
    </row>
    <row r="372">
      <c r="A372" s="134"/>
      <c r="D372" s="135"/>
      <c r="F372" s="136"/>
      <c r="H372" s="134"/>
      <c r="J372" s="134"/>
    </row>
    <row r="373">
      <c r="A373" s="134"/>
      <c r="D373" s="135"/>
      <c r="F373" s="136"/>
      <c r="H373" s="134"/>
      <c r="J373" s="134"/>
    </row>
    <row r="374">
      <c r="A374" s="134"/>
      <c r="D374" s="135"/>
      <c r="F374" s="136"/>
      <c r="H374" s="134"/>
      <c r="J374" s="134"/>
    </row>
    <row r="375">
      <c r="A375" s="134"/>
      <c r="D375" s="135"/>
      <c r="F375" s="136"/>
      <c r="H375" s="134"/>
      <c r="J375" s="134"/>
    </row>
    <row r="376">
      <c r="A376" s="134"/>
      <c r="D376" s="135"/>
      <c r="F376" s="136"/>
      <c r="H376" s="134"/>
      <c r="J376" s="134"/>
    </row>
    <row r="377">
      <c r="A377" s="134"/>
      <c r="D377" s="135"/>
      <c r="F377" s="136"/>
      <c r="H377" s="134"/>
      <c r="J377" s="134"/>
    </row>
    <row r="378">
      <c r="A378" s="134"/>
      <c r="D378" s="135"/>
      <c r="F378" s="136"/>
      <c r="H378" s="134"/>
      <c r="J378" s="134"/>
    </row>
    <row r="379">
      <c r="A379" s="134"/>
      <c r="D379" s="135"/>
      <c r="F379" s="136"/>
      <c r="H379" s="134"/>
      <c r="J379" s="134"/>
    </row>
    <row r="380">
      <c r="A380" s="134"/>
      <c r="D380" s="135"/>
      <c r="F380" s="136"/>
      <c r="H380" s="134"/>
      <c r="J380" s="134"/>
    </row>
    <row r="381">
      <c r="A381" s="134"/>
      <c r="D381" s="135"/>
      <c r="F381" s="136"/>
      <c r="H381" s="134"/>
      <c r="J381" s="134"/>
    </row>
    <row r="382">
      <c r="A382" s="134"/>
      <c r="D382" s="135"/>
      <c r="F382" s="136"/>
      <c r="H382" s="134"/>
      <c r="J382" s="134"/>
    </row>
    <row r="383">
      <c r="A383" s="134"/>
      <c r="D383" s="135"/>
      <c r="F383" s="136"/>
      <c r="H383" s="134"/>
      <c r="J383" s="134"/>
    </row>
    <row r="384">
      <c r="A384" s="134"/>
      <c r="D384" s="135"/>
      <c r="F384" s="136"/>
      <c r="H384" s="134"/>
      <c r="J384" s="134"/>
    </row>
    <row r="385">
      <c r="A385" s="134"/>
      <c r="D385" s="135"/>
      <c r="F385" s="136"/>
      <c r="H385" s="134"/>
      <c r="J385" s="134"/>
    </row>
    <row r="386">
      <c r="A386" s="134"/>
      <c r="D386" s="135"/>
      <c r="F386" s="136"/>
      <c r="H386" s="134"/>
      <c r="J386" s="134"/>
    </row>
    <row r="387">
      <c r="A387" s="134"/>
      <c r="D387" s="135"/>
      <c r="F387" s="136"/>
      <c r="H387" s="134"/>
      <c r="J387" s="134"/>
    </row>
    <row r="388">
      <c r="A388" s="134"/>
      <c r="D388" s="135"/>
      <c r="F388" s="136"/>
      <c r="H388" s="134"/>
      <c r="J388" s="134"/>
    </row>
    <row r="389">
      <c r="A389" s="134"/>
      <c r="D389" s="135"/>
      <c r="F389" s="136"/>
      <c r="H389" s="134"/>
      <c r="J389" s="134"/>
    </row>
    <row r="390">
      <c r="A390" s="134"/>
      <c r="D390" s="135"/>
      <c r="F390" s="136"/>
      <c r="H390" s="134"/>
      <c r="J390" s="134"/>
    </row>
    <row r="391">
      <c r="A391" s="134"/>
      <c r="D391" s="135"/>
      <c r="F391" s="136"/>
      <c r="H391" s="134"/>
      <c r="J391" s="134"/>
    </row>
    <row r="392">
      <c r="A392" s="134"/>
      <c r="D392" s="135"/>
      <c r="F392" s="136"/>
      <c r="H392" s="134"/>
      <c r="J392" s="134"/>
    </row>
    <row r="393">
      <c r="A393" s="134"/>
      <c r="D393" s="135"/>
      <c r="F393" s="136"/>
      <c r="H393" s="134"/>
      <c r="J393" s="134"/>
    </row>
    <row r="394">
      <c r="A394" s="134"/>
      <c r="D394" s="135"/>
      <c r="F394" s="136"/>
      <c r="H394" s="134"/>
      <c r="J394" s="134"/>
    </row>
    <row r="395">
      <c r="A395" s="134"/>
      <c r="D395" s="135"/>
      <c r="F395" s="136"/>
      <c r="H395" s="134"/>
      <c r="J395" s="134"/>
    </row>
    <row r="396">
      <c r="A396" s="134"/>
      <c r="D396" s="135"/>
      <c r="F396" s="136"/>
      <c r="H396" s="134"/>
      <c r="J396" s="134"/>
    </row>
    <row r="397">
      <c r="A397" s="134"/>
      <c r="D397" s="135"/>
      <c r="F397" s="136"/>
      <c r="H397" s="134"/>
      <c r="J397" s="134"/>
    </row>
    <row r="398">
      <c r="A398" s="134"/>
      <c r="D398" s="135"/>
      <c r="F398" s="136"/>
      <c r="H398" s="134"/>
      <c r="J398" s="134"/>
    </row>
    <row r="399">
      <c r="A399" s="134"/>
      <c r="D399" s="135"/>
      <c r="F399" s="136"/>
      <c r="H399" s="134"/>
      <c r="J399" s="134"/>
    </row>
    <row r="400">
      <c r="A400" s="134"/>
      <c r="D400" s="135"/>
      <c r="F400" s="136"/>
      <c r="H400" s="134"/>
      <c r="J400" s="134"/>
    </row>
    <row r="401">
      <c r="A401" s="134"/>
      <c r="D401" s="135"/>
      <c r="F401" s="136"/>
      <c r="H401" s="134"/>
      <c r="J401" s="134"/>
    </row>
    <row r="402">
      <c r="A402" s="134"/>
      <c r="D402" s="135"/>
      <c r="F402" s="136"/>
      <c r="H402" s="134"/>
      <c r="J402" s="134"/>
    </row>
    <row r="403">
      <c r="A403" s="134"/>
      <c r="D403" s="135"/>
      <c r="F403" s="136"/>
      <c r="H403" s="134"/>
      <c r="J403" s="134"/>
    </row>
    <row r="404">
      <c r="A404" s="134"/>
      <c r="D404" s="135"/>
      <c r="F404" s="136"/>
      <c r="H404" s="134"/>
      <c r="J404" s="134"/>
    </row>
    <row r="405">
      <c r="A405" s="134"/>
      <c r="D405" s="135"/>
      <c r="F405" s="136"/>
      <c r="H405" s="134"/>
      <c r="J405" s="134"/>
    </row>
    <row r="406">
      <c r="A406" s="134"/>
      <c r="D406" s="135"/>
      <c r="F406" s="136"/>
      <c r="H406" s="134"/>
      <c r="J406" s="134"/>
    </row>
    <row r="407">
      <c r="A407" s="134"/>
      <c r="D407" s="135"/>
      <c r="F407" s="136"/>
      <c r="H407" s="134"/>
      <c r="J407" s="134"/>
    </row>
    <row r="408">
      <c r="A408" s="134"/>
      <c r="D408" s="135"/>
      <c r="F408" s="136"/>
      <c r="H408" s="134"/>
      <c r="J408" s="134"/>
    </row>
    <row r="409">
      <c r="A409" s="134"/>
      <c r="D409" s="135"/>
      <c r="F409" s="136"/>
      <c r="H409" s="134"/>
      <c r="J409" s="134"/>
    </row>
    <row r="410">
      <c r="A410" s="134"/>
      <c r="D410" s="135"/>
      <c r="F410" s="136"/>
      <c r="H410" s="134"/>
      <c r="J410" s="134"/>
    </row>
    <row r="411">
      <c r="A411" s="134"/>
      <c r="D411" s="135"/>
      <c r="F411" s="136"/>
      <c r="H411" s="134"/>
      <c r="J411" s="134"/>
    </row>
    <row r="412">
      <c r="A412" s="134"/>
      <c r="D412" s="135"/>
      <c r="F412" s="136"/>
      <c r="H412" s="134"/>
      <c r="J412" s="134"/>
    </row>
    <row r="413">
      <c r="A413" s="134"/>
      <c r="D413" s="135"/>
      <c r="F413" s="136"/>
      <c r="H413" s="134"/>
      <c r="J413" s="134"/>
    </row>
    <row r="414">
      <c r="A414" s="134"/>
      <c r="D414" s="135"/>
      <c r="F414" s="136"/>
      <c r="H414" s="134"/>
      <c r="J414" s="134"/>
    </row>
    <row r="415">
      <c r="A415" s="134"/>
      <c r="D415" s="135"/>
      <c r="F415" s="136"/>
      <c r="H415" s="134"/>
      <c r="J415" s="134"/>
    </row>
    <row r="416">
      <c r="A416" s="134"/>
      <c r="D416" s="135"/>
      <c r="F416" s="136"/>
      <c r="H416" s="134"/>
      <c r="J416" s="134"/>
    </row>
    <row r="417">
      <c r="A417" s="134"/>
      <c r="D417" s="135"/>
      <c r="F417" s="136"/>
      <c r="H417" s="134"/>
      <c r="J417" s="134"/>
    </row>
    <row r="418">
      <c r="A418" s="134"/>
      <c r="D418" s="135"/>
      <c r="F418" s="136"/>
      <c r="H418" s="134"/>
      <c r="J418" s="134"/>
    </row>
    <row r="419">
      <c r="A419" s="134"/>
      <c r="D419" s="135"/>
      <c r="F419" s="136"/>
      <c r="H419" s="134"/>
      <c r="J419" s="134"/>
    </row>
    <row r="420">
      <c r="A420" s="134"/>
      <c r="D420" s="135"/>
      <c r="F420" s="136"/>
      <c r="H420" s="134"/>
      <c r="J420" s="134"/>
    </row>
    <row r="421">
      <c r="A421" s="134"/>
      <c r="D421" s="135"/>
      <c r="F421" s="136"/>
      <c r="H421" s="134"/>
      <c r="J421" s="134"/>
    </row>
    <row r="422">
      <c r="A422" s="134"/>
      <c r="D422" s="135"/>
      <c r="F422" s="136"/>
      <c r="H422" s="134"/>
      <c r="J422" s="134"/>
    </row>
    <row r="423">
      <c r="A423" s="134"/>
      <c r="D423" s="135"/>
      <c r="F423" s="136"/>
      <c r="H423" s="134"/>
      <c r="J423" s="134"/>
    </row>
    <row r="424">
      <c r="A424" s="134"/>
      <c r="D424" s="135"/>
      <c r="F424" s="136"/>
      <c r="H424" s="134"/>
      <c r="J424" s="134"/>
    </row>
    <row r="425">
      <c r="A425" s="134"/>
      <c r="D425" s="135"/>
      <c r="F425" s="136"/>
      <c r="H425" s="134"/>
      <c r="J425" s="134"/>
    </row>
    <row r="426">
      <c r="A426" s="134"/>
      <c r="D426" s="135"/>
      <c r="F426" s="136"/>
      <c r="H426" s="134"/>
      <c r="J426" s="134"/>
    </row>
    <row r="427">
      <c r="A427" s="134"/>
      <c r="D427" s="135"/>
      <c r="F427" s="136"/>
      <c r="H427" s="134"/>
      <c r="J427" s="134"/>
    </row>
    <row r="428">
      <c r="A428" s="134"/>
      <c r="D428" s="135"/>
      <c r="F428" s="136"/>
      <c r="H428" s="134"/>
      <c r="J428" s="134"/>
    </row>
    <row r="429">
      <c r="A429" s="134"/>
      <c r="D429" s="135"/>
      <c r="F429" s="136"/>
      <c r="H429" s="134"/>
      <c r="J429" s="134"/>
    </row>
    <row r="430">
      <c r="A430" s="134"/>
      <c r="D430" s="135"/>
      <c r="F430" s="136"/>
      <c r="H430" s="134"/>
      <c r="J430" s="134"/>
    </row>
    <row r="431">
      <c r="A431" s="134"/>
      <c r="D431" s="135"/>
      <c r="F431" s="136"/>
      <c r="H431" s="134"/>
      <c r="J431" s="134"/>
    </row>
    <row r="432">
      <c r="A432" s="134"/>
      <c r="D432" s="135"/>
      <c r="F432" s="136"/>
      <c r="H432" s="134"/>
      <c r="J432" s="134"/>
    </row>
    <row r="433">
      <c r="A433" s="134"/>
      <c r="D433" s="135"/>
      <c r="F433" s="136"/>
      <c r="H433" s="134"/>
      <c r="J433" s="134"/>
    </row>
    <row r="434">
      <c r="A434" s="134"/>
      <c r="D434" s="135"/>
      <c r="F434" s="136"/>
      <c r="H434" s="134"/>
      <c r="J434" s="134"/>
    </row>
    <row r="435">
      <c r="A435" s="134"/>
      <c r="D435" s="135"/>
      <c r="F435" s="136"/>
      <c r="H435" s="134"/>
      <c r="J435" s="134"/>
    </row>
    <row r="436">
      <c r="A436" s="134"/>
      <c r="D436" s="135"/>
      <c r="F436" s="136"/>
      <c r="H436" s="134"/>
      <c r="J436" s="134"/>
    </row>
    <row r="437">
      <c r="A437" s="134"/>
      <c r="D437" s="135"/>
      <c r="F437" s="136"/>
      <c r="H437" s="134"/>
      <c r="J437" s="134"/>
    </row>
    <row r="438">
      <c r="A438" s="134"/>
      <c r="D438" s="135"/>
      <c r="F438" s="136"/>
      <c r="H438" s="134"/>
      <c r="J438" s="134"/>
    </row>
    <row r="439">
      <c r="A439" s="134"/>
      <c r="D439" s="135"/>
      <c r="F439" s="136"/>
      <c r="H439" s="134"/>
      <c r="J439" s="134"/>
    </row>
    <row r="440">
      <c r="A440" s="134"/>
      <c r="D440" s="135"/>
      <c r="F440" s="136"/>
      <c r="H440" s="134"/>
      <c r="J440" s="134"/>
    </row>
    <row r="441">
      <c r="A441" s="134"/>
      <c r="D441" s="135"/>
      <c r="F441" s="136"/>
      <c r="H441" s="134"/>
      <c r="J441" s="134"/>
    </row>
    <row r="442">
      <c r="A442" s="134"/>
      <c r="D442" s="135"/>
      <c r="F442" s="136"/>
      <c r="H442" s="134"/>
      <c r="J442" s="134"/>
    </row>
    <row r="443">
      <c r="A443" s="134"/>
      <c r="D443" s="135"/>
      <c r="F443" s="136"/>
      <c r="H443" s="134"/>
      <c r="J443" s="134"/>
    </row>
    <row r="444">
      <c r="A444" s="134"/>
      <c r="D444" s="135"/>
      <c r="F444" s="136"/>
      <c r="H444" s="134"/>
      <c r="J444" s="134"/>
    </row>
    <row r="445">
      <c r="A445" s="134"/>
      <c r="D445" s="135"/>
      <c r="F445" s="136"/>
      <c r="H445" s="134"/>
      <c r="J445" s="134"/>
    </row>
    <row r="446">
      <c r="A446" s="134"/>
      <c r="D446" s="135"/>
      <c r="F446" s="136"/>
      <c r="H446" s="134"/>
      <c r="J446" s="134"/>
    </row>
    <row r="447">
      <c r="A447" s="134"/>
      <c r="D447" s="135"/>
      <c r="F447" s="136"/>
      <c r="H447" s="134"/>
      <c r="J447" s="134"/>
    </row>
    <row r="448">
      <c r="A448" s="134"/>
      <c r="D448" s="135"/>
      <c r="F448" s="136"/>
      <c r="H448" s="134"/>
      <c r="J448" s="134"/>
    </row>
    <row r="449">
      <c r="A449" s="134"/>
      <c r="D449" s="135"/>
      <c r="F449" s="136"/>
      <c r="H449" s="134"/>
      <c r="J449" s="134"/>
    </row>
    <row r="450">
      <c r="A450" s="134"/>
      <c r="D450" s="135"/>
      <c r="F450" s="136"/>
      <c r="H450" s="134"/>
      <c r="J450" s="134"/>
    </row>
    <row r="451">
      <c r="A451" s="134"/>
      <c r="D451" s="135"/>
      <c r="F451" s="136"/>
      <c r="H451" s="134"/>
      <c r="J451" s="134"/>
    </row>
    <row r="452">
      <c r="A452" s="134"/>
      <c r="D452" s="135"/>
      <c r="F452" s="136"/>
      <c r="H452" s="134"/>
      <c r="J452" s="134"/>
    </row>
    <row r="453">
      <c r="A453" s="134"/>
      <c r="D453" s="135"/>
      <c r="F453" s="136"/>
      <c r="H453" s="134"/>
      <c r="J453" s="134"/>
    </row>
    <row r="454">
      <c r="A454" s="134"/>
      <c r="D454" s="135"/>
      <c r="F454" s="136"/>
      <c r="H454" s="134"/>
      <c r="J454" s="134"/>
    </row>
    <row r="455">
      <c r="A455" s="134"/>
      <c r="D455" s="135"/>
      <c r="F455" s="136"/>
      <c r="H455" s="134"/>
      <c r="J455" s="134"/>
    </row>
    <row r="456">
      <c r="A456" s="134"/>
      <c r="D456" s="135"/>
      <c r="F456" s="136"/>
      <c r="H456" s="134"/>
      <c r="J456" s="134"/>
    </row>
    <row r="457">
      <c r="A457" s="134"/>
      <c r="D457" s="135"/>
      <c r="F457" s="136"/>
      <c r="H457" s="134"/>
      <c r="J457" s="134"/>
    </row>
    <row r="458">
      <c r="A458" s="134"/>
      <c r="D458" s="135"/>
      <c r="F458" s="136"/>
      <c r="H458" s="134"/>
      <c r="J458" s="134"/>
    </row>
    <row r="459">
      <c r="A459" s="134"/>
      <c r="D459" s="135"/>
      <c r="F459" s="136"/>
      <c r="H459" s="134"/>
      <c r="J459" s="134"/>
    </row>
    <row r="460">
      <c r="A460" s="134"/>
      <c r="D460" s="135"/>
      <c r="F460" s="136"/>
      <c r="H460" s="134"/>
      <c r="J460" s="134"/>
    </row>
    <row r="461">
      <c r="A461" s="134"/>
      <c r="D461" s="135"/>
      <c r="F461" s="136"/>
      <c r="H461" s="134"/>
      <c r="J461" s="134"/>
    </row>
    <row r="462">
      <c r="A462" s="134"/>
      <c r="D462" s="135"/>
      <c r="F462" s="136"/>
      <c r="H462" s="134"/>
      <c r="J462" s="134"/>
    </row>
    <row r="463">
      <c r="A463" s="134"/>
      <c r="D463" s="135"/>
      <c r="F463" s="136"/>
      <c r="H463" s="134"/>
      <c r="J463" s="134"/>
    </row>
    <row r="464">
      <c r="A464" s="134"/>
      <c r="D464" s="135"/>
      <c r="F464" s="136"/>
      <c r="H464" s="134"/>
      <c r="J464" s="134"/>
    </row>
    <row r="465">
      <c r="A465" s="134"/>
      <c r="D465" s="135"/>
      <c r="F465" s="136"/>
      <c r="H465" s="134"/>
      <c r="J465" s="134"/>
    </row>
    <row r="466">
      <c r="A466" s="134"/>
      <c r="D466" s="135"/>
      <c r="F466" s="136"/>
      <c r="H466" s="134"/>
      <c r="J466" s="134"/>
    </row>
    <row r="467">
      <c r="A467" s="134"/>
      <c r="D467" s="135"/>
      <c r="F467" s="136"/>
      <c r="H467" s="134"/>
      <c r="J467" s="134"/>
    </row>
    <row r="468">
      <c r="A468" s="134"/>
      <c r="D468" s="135"/>
      <c r="F468" s="136"/>
      <c r="H468" s="134"/>
      <c r="J468" s="134"/>
    </row>
    <row r="469">
      <c r="A469" s="134"/>
      <c r="D469" s="135"/>
      <c r="F469" s="136"/>
      <c r="H469" s="134"/>
      <c r="J469" s="134"/>
    </row>
    <row r="470">
      <c r="A470" s="134"/>
      <c r="D470" s="135"/>
      <c r="F470" s="136"/>
      <c r="H470" s="134"/>
      <c r="J470" s="134"/>
    </row>
    <row r="471">
      <c r="A471" s="134"/>
      <c r="D471" s="135"/>
      <c r="F471" s="136"/>
      <c r="H471" s="134"/>
      <c r="J471" s="134"/>
    </row>
    <row r="472">
      <c r="A472" s="134"/>
      <c r="D472" s="135"/>
      <c r="F472" s="136"/>
      <c r="H472" s="134"/>
      <c r="J472" s="134"/>
    </row>
    <row r="473">
      <c r="A473" s="134"/>
      <c r="D473" s="135"/>
      <c r="F473" s="136"/>
      <c r="H473" s="134"/>
      <c r="J473" s="134"/>
    </row>
    <row r="474">
      <c r="A474" s="134"/>
      <c r="D474" s="135"/>
      <c r="F474" s="136"/>
      <c r="H474" s="134"/>
      <c r="J474" s="134"/>
    </row>
    <row r="475">
      <c r="A475" s="134"/>
      <c r="D475" s="135"/>
      <c r="F475" s="136"/>
      <c r="H475" s="134"/>
      <c r="J475" s="134"/>
    </row>
    <row r="476">
      <c r="A476" s="134"/>
      <c r="D476" s="135"/>
      <c r="F476" s="136"/>
      <c r="H476" s="134"/>
      <c r="J476" s="134"/>
    </row>
    <row r="477">
      <c r="A477" s="134"/>
      <c r="D477" s="135"/>
      <c r="F477" s="136"/>
      <c r="H477" s="134"/>
      <c r="J477" s="134"/>
    </row>
    <row r="478">
      <c r="A478" s="134"/>
      <c r="D478" s="135"/>
      <c r="F478" s="136"/>
      <c r="H478" s="134"/>
      <c r="J478" s="134"/>
    </row>
    <row r="479">
      <c r="A479" s="134"/>
      <c r="D479" s="135"/>
      <c r="F479" s="136"/>
      <c r="H479" s="134"/>
      <c r="J479" s="134"/>
    </row>
    <row r="480">
      <c r="A480" s="134"/>
      <c r="D480" s="135"/>
      <c r="F480" s="136"/>
      <c r="H480" s="134"/>
      <c r="J480" s="134"/>
    </row>
    <row r="481">
      <c r="A481" s="134"/>
      <c r="D481" s="135"/>
      <c r="F481" s="136"/>
      <c r="H481" s="134"/>
      <c r="J481" s="134"/>
    </row>
    <row r="482">
      <c r="A482" s="134"/>
      <c r="D482" s="135"/>
      <c r="F482" s="136"/>
      <c r="H482" s="134"/>
      <c r="J482" s="134"/>
    </row>
    <row r="483">
      <c r="A483" s="134"/>
      <c r="D483" s="135"/>
      <c r="F483" s="136"/>
      <c r="H483" s="134"/>
      <c r="J483" s="134"/>
    </row>
    <row r="484">
      <c r="A484" s="134"/>
      <c r="D484" s="135"/>
      <c r="F484" s="136"/>
      <c r="H484" s="134"/>
      <c r="J484" s="134"/>
    </row>
    <row r="485">
      <c r="A485" s="134"/>
      <c r="D485" s="135"/>
      <c r="F485" s="136"/>
      <c r="H485" s="134"/>
      <c r="J485" s="134"/>
    </row>
    <row r="486">
      <c r="A486" s="134"/>
      <c r="D486" s="135"/>
      <c r="F486" s="136"/>
      <c r="H486" s="134"/>
      <c r="J486" s="134"/>
    </row>
    <row r="487">
      <c r="A487" s="134"/>
      <c r="D487" s="135"/>
      <c r="F487" s="136"/>
      <c r="H487" s="134"/>
      <c r="J487" s="134"/>
    </row>
    <row r="488">
      <c r="A488" s="134"/>
      <c r="D488" s="135"/>
      <c r="F488" s="136"/>
      <c r="H488" s="134"/>
      <c r="J488" s="134"/>
    </row>
    <row r="489">
      <c r="A489" s="134"/>
      <c r="D489" s="135"/>
      <c r="F489" s="136"/>
      <c r="H489" s="134"/>
      <c r="J489" s="134"/>
    </row>
    <row r="490">
      <c r="A490" s="134"/>
      <c r="D490" s="135"/>
      <c r="F490" s="136"/>
      <c r="H490" s="134"/>
      <c r="J490" s="134"/>
    </row>
    <row r="491">
      <c r="A491" s="134"/>
      <c r="D491" s="135"/>
      <c r="F491" s="136"/>
      <c r="H491" s="134"/>
      <c r="J491" s="134"/>
    </row>
    <row r="492">
      <c r="A492" s="134"/>
      <c r="D492" s="135"/>
      <c r="F492" s="136"/>
      <c r="H492" s="134"/>
      <c r="J492" s="134"/>
    </row>
    <row r="493">
      <c r="A493" s="134"/>
      <c r="D493" s="135"/>
      <c r="F493" s="136"/>
      <c r="H493" s="134"/>
      <c r="J493" s="134"/>
    </row>
    <row r="494">
      <c r="A494" s="134"/>
      <c r="D494" s="135"/>
      <c r="F494" s="136"/>
      <c r="H494" s="134"/>
      <c r="J494" s="134"/>
    </row>
    <row r="495">
      <c r="A495" s="134"/>
      <c r="D495" s="135"/>
      <c r="F495" s="136"/>
      <c r="H495" s="134"/>
      <c r="J495" s="134"/>
    </row>
    <row r="496">
      <c r="A496" s="134"/>
      <c r="D496" s="135"/>
      <c r="F496" s="136"/>
      <c r="H496" s="134"/>
      <c r="J496" s="134"/>
    </row>
    <row r="497">
      <c r="A497" s="134"/>
      <c r="D497" s="135"/>
      <c r="F497" s="136"/>
      <c r="H497" s="134"/>
      <c r="J497" s="134"/>
    </row>
    <row r="498">
      <c r="A498" s="134"/>
      <c r="D498" s="135"/>
      <c r="F498" s="136"/>
      <c r="H498" s="134"/>
      <c r="J498" s="134"/>
    </row>
    <row r="499">
      <c r="A499" s="134"/>
      <c r="D499" s="135"/>
      <c r="F499" s="136"/>
      <c r="H499" s="134"/>
      <c r="J499" s="134"/>
    </row>
    <row r="500">
      <c r="A500" s="134"/>
      <c r="D500" s="135"/>
      <c r="F500" s="136"/>
      <c r="H500" s="134"/>
      <c r="J500" s="134"/>
    </row>
    <row r="501">
      <c r="A501" s="134"/>
      <c r="D501" s="135"/>
      <c r="F501" s="136"/>
      <c r="H501" s="134"/>
      <c r="J501" s="134"/>
    </row>
    <row r="502">
      <c r="A502" s="134"/>
      <c r="D502" s="135"/>
      <c r="F502" s="136"/>
      <c r="H502" s="134"/>
      <c r="J502" s="134"/>
    </row>
    <row r="503">
      <c r="A503" s="134"/>
      <c r="D503" s="135"/>
      <c r="F503" s="136"/>
      <c r="H503" s="134"/>
      <c r="J503" s="134"/>
    </row>
    <row r="504">
      <c r="A504" s="134"/>
      <c r="D504" s="135"/>
      <c r="F504" s="136"/>
      <c r="H504" s="134"/>
      <c r="J504" s="134"/>
    </row>
    <row r="505">
      <c r="A505" s="134"/>
      <c r="D505" s="135"/>
      <c r="F505" s="136"/>
      <c r="H505" s="134"/>
      <c r="J505" s="134"/>
    </row>
    <row r="506">
      <c r="A506" s="134"/>
      <c r="D506" s="135"/>
      <c r="F506" s="136"/>
      <c r="H506" s="134"/>
      <c r="J506" s="134"/>
    </row>
    <row r="507">
      <c r="A507" s="134"/>
      <c r="D507" s="135"/>
      <c r="F507" s="136"/>
      <c r="H507" s="134"/>
      <c r="J507" s="134"/>
    </row>
    <row r="508">
      <c r="A508" s="134"/>
      <c r="D508" s="135"/>
      <c r="F508" s="136"/>
      <c r="H508" s="134"/>
      <c r="J508" s="134"/>
    </row>
    <row r="509">
      <c r="A509" s="134"/>
      <c r="D509" s="135"/>
      <c r="F509" s="136"/>
      <c r="H509" s="134"/>
      <c r="J509" s="134"/>
    </row>
    <row r="510">
      <c r="A510" s="134"/>
      <c r="D510" s="135"/>
      <c r="F510" s="136"/>
      <c r="H510" s="134"/>
      <c r="J510" s="134"/>
    </row>
    <row r="511">
      <c r="A511" s="134"/>
      <c r="D511" s="135"/>
      <c r="F511" s="136"/>
      <c r="H511" s="134"/>
      <c r="J511" s="134"/>
    </row>
    <row r="512">
      <c r="A512" s="134"/>
      <c r="D512" s="135"/>
      <c r="F512" s="136"/>
      <c r="H512" s="134"/>
      <c r="J512" s="134"/>
    </row>
    <row r="513">
      <c r="A513" s="134"/>
      <c r="D513" s="135"/>
      <c r="F513" s="136"/>
      <c r="H513" s="134"/>
      <c r="J513" s="134"/>
    </row>
    <row r="514">
      <c r="A514" s="134"/>
      <c r="D514" s="135"/>
      <c r="F514" s="136"/>
      <c r="H514" s="134"/>
      <c r="J514" s="134"/>
    </row>
    <row r="515">
      <c r="A515" s="134"/>
      <c r="D515" s="135"/>
      <c r="F515" s="136"/>
      <c r="H515" s="134"/>
      <c r="J515" s="134"/>
    </row>
    <row r="516">
      <c r="A516" s="134"/>
      <c r="D516" s="135"/>
      <c r="F516" s="136"/>
      <c r="H516" s="134"/>
      <c r="J516" s="134"/>
    </row>
    <row r="517">
      <c r="A517" s="134"/>
      <c r="D517" s="135"/>
      <c r="F517" s="136"/>
      <c r="H517" s="134"/>
      <c r="J517" s="134"/>
    </row>
    <row r="518">
      <c r="A518" s="134"/>
      <c r="D518" s="135"/>
      <c r="F518" s="136"/>
      <c r="H518" s="134"/>
      <c r="J518" s="134"/>
    </row>
    <row r="519">
      <c r="A519" s="134"/>
      <c r="D519" s="135"/>
      <c r="F519" s="136"/>
      <c r="H519" s="134"/>
      <c r="J519" s="134"/>
    </row>
    <row r="520">
      <c r="A520" s="134"/>
      <c r="D520" s="135"/>
      <c r="F520" s="136"/>
      <c r="H520" s="134"/>
      <c r="J520" s="134"/>
    </row>
    <row r="521">
      <c r="A521" s="134"/>
      <c r="D521" s="135"/>
      <c r="F521" s="136"/>
      <c r="H521" s="134"/>
      <c r="J521" s="134"/>
    </row>
    <row r="522">
      <c r="A522" s="134"/>
      <c r="D522" s="135"/>
      <c r="F522" s="136"/>
      <c r="H522" s="134"/>
      <c r="J522" s="134"/>
    </row>
    <row r="523">
      <c r="A523" s="134"/>
      <c r="D523" s="135"/>
      <c r="F523" s="136"/>
      <c r="H523" s="134"/>
      <c r="J523" s="134"/>
    </row>
    <row r="524">
      <c r="A524" s="134"/>
      <c r="D524" s="135"/>
      <c r="F524" s="136"/>
      <c r="H524" s="134"/>
      <c r="J524" s="134"/>
    </row>
    <row r="525">
      <c r="A525" s="134"/>
      <c r="D525" s="135"/>
      <c r="F525" s="136"/>
      <c r="H525" s="134"/>
      <c r="J525" s="134"/>
    </row>
    <row r="526">
      <c r="A526" s="134"/>
      <c r="D526" s="135"/>
      <c r="F526" s="136"/>
      <c r="H526" s="134"/>
      <c r="J526" s="134"/>
    </row>
    <row r="527">
      <c r="A527" s="134"/>
      <c r="D527" s="135"/>
      <c r="F527" s="136"/>
      <c r="H527" s="134"/>
      <c r="J527" s="134"/>
    </row>
    <row r="528">
      <c r="A528" s="134"/>
      <c r="D528" s="135"/>
      <c r="F528" s="136"/>
      <c r="H528" s="134"/>
      <c r="J528" s="134"/>
    </row>
    <row r="529">
      <c r="A529" s="134"/>
      <c r="D529" s="135"/>
      <c r="F529" s="136"/>
      <c r="H529" s="134"/>
      <c r="J529" s="134"/>
    </row>
    <row r="530">
      <c r="A530" s="134"/>
      <c r="D530" s="135"/>
      <c r="F530" s="136"/>
      <c r="H530" s="134"/>
      <c r="J530" s="134"/>
    </row>
    <row r="531">
      <c r="A531" s="134"/>
      <c r="D531" s="135"/>
      <c r="F531" s="136"/>
      <c r="H531" s="134"/>
      <c r="J531" s="134"/>
    </row>
    <row r="532">
      <c r="A532" s="134"/>
      <c r="D532" s="135"/>
      <c r="F532" s="136"/>
      <c r="H532" s="134"/>
      <c r="J532" s="134"/>
    </row>
    <row r="533">
      <c r="A533" s="134"/>
      <c r="D533" s="135"/>
      <c r="F533" s="136"/>
      <c r="H533" s="134"/>
      <c r="J533" s="134"/>
    </row>
    <row r="534">
      <c r="A534" s="134"/>
      <c r="D534" s="135"/>
      <c r="F534" s="136"/>
      <c r="H534" s="134"/>
      <c r="J534" s="134"/>
    </row>
    <row r="535">
      <c r="A535" s="134"/>
      <c r="D535" s="135"/>
      <c r="F535" s="136"/>
      <c r="H535" s="134"/>
      <c r="J535" s="134"/>
    </row>
    <row r="536">
      <c r="A536" s="134"/>
      <c r="D536" s="135"/>
      <c r="F536" s="136"/>
      <c r="H536" s="134"/>
      <c r="J536" s="134"/>
    </row>
    <row r="537">
      <c r="A537" s="134"/>
      <c r="D537" s="135"/>
      <c r="F537" s="136"/>
      <c r="H537" s="134"/>
      <c r="J537" s="134"/>
    </row>
    <row r="538">
      <c r="A538" s="134"/>
      <c r="D538" s="135"/>
      <c r="F538" s="136"/>
      <c r="H538" s="134"/>
      <c r="J538" s="134"/>
    </row>
    <row r="539">
      <c r="A539" s="134"/>
      <c r="D539" s="135"/>
      <c r="F539" s="136"/>
      <c r="H539" s="134"/>
      <c r="J539" s="134"/>
    </row>
    <row r="540">
      <c r="A540" s="134"/>
      <c r="D540" s="135"/>
      <c r="F540" s="136"/>
      <c r="H540" s="134"/>
      <c r="J540" s="134"/>
    </row>
    <row r="541">
      <c r="A541" s="134"/>
      <c r="D541" s="135"/>
      <c r="F541" s="136"/>
      <c r="H541" s="134"/>
      <c r="J541" s="134"/>
    </row>
    <row r="542">
      <c r="A542" s="134"/>
      <c r="D542" s="135"/>
      <c r="F542" s="136"/>
      <c r="H542" s="134"/>
      <c r="J542" s="134"/>
    </row>
    <row r="543">
      <c r="A543" s="134"/>
      <c r="D543" s="135"/>
      <c r="F543" s="136"/>
      <c r="H543" s="134"/>
      <c r="J543" s="134"/>
    </row>
    <row r="544">
      <c r="A544" s="134"/>
      <c r="D544" s="135"/>
      <c r="F544" s="136"/>
      <c r="H544" s="134"/>
      <c r="J544" s="134"/>
    </row>
    <row r="545">
      <c r="A545" s="134"/>
      <c r="D545" s="135"/>
      <c r="F545" s="136"/>
      <c r="H545" s="134"/>
      <c r="J545" s="134"/>
    </row>
    <row r="546">
      <c r="A546" s="134"/>
      <c r="D546" s="135"/>
      <c r="F546" s="136"/>
      <c r="H546" s="134"/>
      <c r="J546" s="134"/>
    </row>
    <row r="547">
      <c r="A547" s="134"/>
      <c r="D547" s="135"/>
      <c r="F547" s="136"/>
      <c r="H547" s="134"/>
      <c r="J547" s="134"/>
    </row>
    <row r="548">
      <c r="A548" s="134"/>
      <c r="D548" s="135"/>
      <c r="F548" s="136"/>
      <c r="H548" s="134"/>
      <c r="J548" s="134"/>
    </row>
    <row r="549">
      <c r="A549" s="134"/>
      <c r="D549" s="135"/>
      <c r="F549" s="136"/>
      <c r="H549" s="134"/>
      <c r="J549" s="134"/>
    </row>
    <row r="550">
      <c r="A550" s="134"/>
      <c r="D550" s="135"/>
      <c r="F550" s="136"/>
      <c r="H550" s="134"/>
      <c r="J550" s="134"/>
    </row>
    <row r="551">
      <c r="A551" s="134"/>
      <c r="D551" s="135"/>
      <c r="F551" s="136"/>
      <c r="H551" s="134"/>
      <c r="J551" s="134"/>
    </row>
    <row r="552">
      <c r="A552" s="134"/>
      <c r="D552" s="135"/>
      <c r="F552" s="136"/>
      <c r="H552" s="134"/>
      <c r="J552" s="134"/>
    </row>
    <row r="553">
      <c r="A553" s="134"/>
      <c r="D553" s="135"/>
      <c r="F553" s="136"/>
      <c r="H553" s="134"/>
      <c r="J553" s="134"/>
    </row>
    <row r="554">
      <c r="A554" s="134"/>
      <c r="D554" s="135"/>
      <c r="F554" s="136"/>
      <c r="H554" s="134"/>
      <c r="J554" s="134"/>
    </row>
    <row r="555">
      <c r="A555" s="134"/>
      <c r="D555" s="135"/>
      <c r="F555" s="136"/>
      <c r="H555" s="134"/>
      <c r="J555" s="134"/>
    </row>
    <row r="556">
      <c r="A556" s="134"/>
      <c r="D556" s="135"/>
      <c r="F556" s="136"/>
      <c r="H556" s="134"/>
      <c r="J556" s="134"/>
    </row>
    <row r="557">
      <c r="A557" s="134"/>
      <c r="D557" s="135"/>
      <c r="F557" s="136"/>
      <c r="H557" s="134"/>
      <c r="J557" s="134"/>
    </row>
    <row r="558">
      <c r="A558" s="134"/>
      <c r="D558" s="135"/>
      <c r="F558" s="136"/>
      <c r="H558" s="134"/>
      <c r="J558" s="134"/>
    </row>
    <row r="559">
      <c r="A559" s="134"/>
      <c r="D559" s="135"/>
      <c r="F559" s="136"/>
      <c r="H559" s="134"/>
      <c r="J559" s="134"/>
    </row>
    <row r="560">
      <c r="A560" s="134"/>
      <c r="D560" s="135"/>
      <c r="F560" s="136"/>
      <c r="H560" s="134"/>
      <c r="J560" s="134"/>
    </row>
    <row r="561">
      <c r="A561" s="134"/>
      <c r="D561" s="135"/>
      <c r="F561" s="136"/>
      <c r="H561" s="134"/>
      <c r="J561" s="134"/>
    </row>
    <row r="562">
      <c r="A562" s="134"/>
      <c r="D562" s="135"/>
      <c r="F562" s="136"/>
      <c r="H562" s="134"/>
      <c r="J562" s="134"/>
    </row>
    <row r="563">
      <c r="A563" s="134"/>
      <c r="D563" s="135"/>
      <c r="F563" s="136"/>
      <c r="H563" s="134"/>
      <c r="J563" s="134"/>
    </row>
    <row r="564">
      <c r="A564" s="134"/>
      <c r="D564" s="135"/>
      <c r="F564" s="136"/>
      <c r="H564" s="134"/>
      <c r="J564" s="134"/>
    </row>
    <row r="565">
      <c r="A565" s="134"/>
      <c r="D565" s="135"/>
      <c r="F565" s="136"/>
      <c r="H565" s="134"/>
      <c r="J565" s="134"/>
    </row>
    <row r="566">
      <c r="A566" s="134"/>
      <c r="D566" s="135"/>
      <c r="F566" s="136"/>
      <c r="H566" s="134"/>
      <c r="J566" s="134"/>
    </row>
    <row r="567">
      <c r="A567" s="134"/>
      <c r="D567" s="135"/>
      <c r="F567" s="136"/>
      <c r="H567" s="134"/>
      <c r="J567" s="134"/>
    </row>
    <row r="568">
      <c r="A568" s="134"/>
      <c r="D568" s="135"/>
      <c r="F568" s="136"/>
      <c r="H568" s="134"/>
      <c r="J568" s="134"/>
    </row>
    <row r="569">
      <c r="A569" s="134"/>
      <c r="D569" s="135"/>
      <c r="F569" s="136"/>
      <c r="H569" s="134"/>
      <c r="J569" s="134"/>
    </row>
    <row r="570">
      <c r="A570" s="134"/>
      <c r="D570" s="135"/>
      <c r="F570" s="136"/>
      <c r="H570" s="134"/>
      <c r="J570" s="134"/>
    </row>
    <row r="571">
      <c r="A571" s="134"/>
      <c r="D571" s="135"/>
      <c r="F571" s="136"/>
      <c r="H571" s="134"/>
      <c r="J571" s="134"/>
    </row>
    <row r="572">
      <c r="A572" s="134"/>
      <c r="D572" s="135"/>
      <c r="F572" s="136"/>
      <c r="H572" s="134"/>
      <c r="J572" s="134"/>
    </row>
    <row r="573">
      <c r="A573" s="134"/>
      <c r="D573" s="135"/>
      <c r="F573" s="136"/>
      <c r="H573" s="134"/>
      <c r="J573" s="134"/>
    </row>
    <row r="574">
      <c r="A574" s="134"/>
      <c r="D574" s="135"/>
      <c r="F574" s="136"/>
      <c r="H574" s="134"/>
      <c r="J574" s="134"/>
    </row>
    <row r="575">
      <c r="A575" s="134"/>
      <c r="D575" s="135"/>
      <c r="F575" s="136"/>
      <c r="H575" s="134"/>
      <c r="J575" s="134"/>
    </row>
    <row r="576">
      <c r="A576" s="134"/>
      <c r="D576" s="135"/>
      <c r="F576" s="136"/>
      <c r="H576" s="134"/>
      <c r="J576" s="134"/>
    </row>
    <row r="577">
      <c r="A577" s="134"/>
      <c r="D577" s="135"/>
      <c r="F577" s="136"/>
      <c r="H577" s="134"/>
      <c r="J577" s="134"/>
    </row>
    <row r="578">
      <c r="A578" s="134"/>
      <c r="D578" s="135"/>
      <c r="F578" s="136"/>
      <c r="H578" s="134"/>
      <c r="J578" s="134"/>
    </row>
    <row r="579">
      <c r="A579" s="134"/>
      <c r="D579" s="135"/>
      <c r="F579" s="136"/>
      <c r="H579" s="134"/>
      <c r="J579" s="134"/>
    </row>
    <row r="580">
      <c r="A580" s="134"/>
      <c r="D580" s="135"/>
      <c r="F580" s="136"/>
      <c r="H580" s="134"/>
      <c r="J580" s="134"/>
    </row>
    <row r="581">
      <c r="A581" s="134"/>
      <c r="D581" s="135"/>
      <c r="F581" s="136"/>
      <c r="H581" s="134"/>
      <c r="J581" s="134"/>
    </row>
    <row r="582">
      <c r="A582" s="134"/>
      <c r="D582" s="135"/>
      <c r="F582" s="136"/>
      <c r="H582" s="134"/>
      <c r="J582" s="134"/>
    </row>
    <row r="583">
      <c r="A583" s="134"/>
      <c r="D583" s="135"/>
      <c r="F583" s="136"/>
      <c r="H583" s="134"/>
      <c r="J583" s="134"/>
    </row>
    <row r="584">
      <c r="A584" s="134"/>
      <c r="D584" s="135"/>
      <c r="F584" s="136"/>
      <c r="H584" s="134"/>
      <c r="J584" s="134"/>
    </row>
    <row r="585">
      <c r="A585" s="134"/>
      <c r="D585" s="135"/>
      <c r="F585" s="136"/>
      <c r="H585" s="134"/>
      <c r="J585" s="134"/>
    </row>
    <row r="586">
      <c r="A586" s="134"/>
      <c r="D586" s="135"/>
      <c r="F586" s="136"/>
      <c r="H586" s="134"/>
      <c r="J586" s="134"/>
    </row>
    <row r="587">
      <c r="A587" s="134"/>
      <c r="D587" s="135"/>
      <c r="F587" s="136"/>
      <c r="H587" s="134"/>
      <c r="J587" s="134"/>
    </row>
    <row r="588">
      <c r="A588" s="134"/>
      <c r="D588" s="135"/>
      <c r="F588" s="136"/>
      <c r="H588" s="134"/>
      <c r="J588" s="134"/>
    </row>
    <row r="589">
      <c r="A589" s="134"/>
      <c r="D589" s="135"/>
      <c r="F589" s="136"/>
      <c r="H589" s="134"/>
      <c r="J589" s="134"/>
    </row>
    <row r="590">
      <c r="A590" s="134"/>
      <c r="D590" s="135"/>
      <c r="F590" s="136"/>
      <c r="H590" s="134"/>
      <c r="J590" s="134"/>
    </row>
    <row r="591">
      <c r="A591" s="134"/>
      <c r="D591" s="135"/>
      <c r="F591" s="136"/>
      <c r="H591" s="134"/>
      <c r="J591" s="134"/>
    </row>
    <row r="592">
      <c r="A592" s="134"/>
      <c r="D592" s="135"/>
      <c r="F592" s="136"/>
      <c r="H592" s="134"/>
      <c r="J592" s="134"/>
    </row>
    <row r="593">
      <c r="A593" s="134"/>
      <c r="D593" s="135"/>
      <c r="F593" s="136"/>
      <c r="H593" s="134"/>
      <c r="J593" s="134"/>
    </row>
    <row r="594">
      <c r="A594" s="134"/>
      <c r="D594" s="135"/>
      <c r="F594" s="136"/>
      <c r="H594" s="134"/>
      <c r="J594" s="134"/>
    </row>
    <row r="595">
      <c r="A595" s="134"/>
      <c r="D595" s="135"/>
      <c r="F595" s="136"/>
      <c r="H595" s="134"/>
      <c r="J595" s="134"/>
    </row>
    <row r="596">
      <c r="A596" s="134"/>
      <c r="D596" s="135"/>
      <c r="F596" s="136"/>
      <c r="H596" s="134"/>
      <c r="J596" s="134"/>
    </row>
    <row r="597">
      <c r="A597" s="134"/>
      <c r="D597" s="135"/>
      <c r="F597" s="136"/>
      <c r="H597" s="134"/>
      <c r="J597" s="134"/>
    </row>
    <row r="598">
      <c r="A598" s="134"/>
      <c r="D598" s="135"/>
      <c r="F598" s="136"/>
      <c r="H598" s="134"/>
      <c r="J598" s="134"/>
    </row>
    <row r="599">
      <c r="A599" s="134"/>
      <c r="D599" s="135"/>
      <c r="F599" s="136"/>
      <c r="H599" s="134"/>
      <c r="J599" s="134"/>
    </row>
    <row r="600">
      <c r="A600" s="134"/>
      <c r="D600" s="135"/>
      <c r="F600" s="136"/>
      <c r="H600" s="134"/>
      <c r="J600" s="134"/>
    </row>
    <row r="601">
      <c r="A601" s="134"/>
      <c r="D601" s="135"/>
      <c r="F601" s="136"/>
      <c r="H601" s="134"/>
      <c r="J601" s="134"/>
    </row>
    <row r="602">
      <c r="A602" s="134"/>
      <c r="D602" s="135"/>
      <c r="F602" s="136"/>
      <c r="H602" s="134"/>
      <c r="J602" s="134"/>
    </row>
    <row r="603">
      <c r="A603" s="134"/>
      <c r="D603" s="135"/>
      <c r="F603" s="136"/>
      <c r="H603" s="134"/>
      <c r="J603" s="134"/>
    </row>
    <row r="604">
      <c r="A604" s="134"/>
      <c r="D604" s="135"/>
      <c r="F604" s="136"/>
      <c r="H604" s="134"/>
      <c r="J604" s="134"/>
    </row>
    <row r="605">
      <c r="A605" s="134"/>
      <c r="D605" s="135"/>
      <c r="F605" s="136"/>
      <c r="H605" s="134"/>
      <c r="J605" s="134"/>
    </row>
    <row r="606">
      <c r="A606" s="134"/>
      <c r="D606" s="135"/>
      <c r="F606" s="136"/>
      <c r="H606" s="134"/>
      <c r="J606" s="134"/>
    </row>
    <row r="607">
      <c r="A607" s="134"/>
      <c r="D607" s="135"/>
      <c r="F607" s="136"/>
      <c r="H607" s="134"/>
      <c r="J607" s="134"/>
    </row>
    <row r="608">
      <c r="A608" s="134"/>
      <c r="D608" s="135"/>
      <c r="F608" s="136"/>
      <c r="H608" s="134"/>
      <c r="J608" s="134"/>
    </row>
    <row r="609">
      <c r="A609" s="134"/>
      <c r="D609" s="135"/>
      <c r="F609" s="136"/>
      <c r="H609" s="134"/>
      <c r="J609" s="134"/>
    </row>
    <row r="610">
      <c r="A610" s="134"/>
      <c r="D610" s="135"/>
      <c r="F610" s="136"/>
      <c r="H610" s="134"/>
      <c r="J610" s="134"/>
    </row>
    <row r="611">
      <c r="A611" s="134"/>
      <c r="D611" s="135"/>
      <c r="F611" s="136"/>
      <c r="H611" s="134"/>
      <c r="J611" s="134"/>
    </row>
    <row r="612">
      <c r="A612" s="134"/>
      <c r="D612" s="135"/>
      <c r="F612" s="136"/>
      <c r="H612" s="134"/>
      <c r="J612" s="134"/>
    </row>
    <row r="613">
      <c r="A613" s="134"/>
      <c r="D613" s="135"/>
      <c r="F613" s="136"/>
      <c r="H613" s="134"/>
      <c r="J613" s="134"/>
    </row>
    <row r="614">
      <c r="A614" s="134"/>
      <c r="D614" s="135"/>
      <c r="F614" s="136"/>
      <c r="H614" s="134"/>
      <c r="J614" s="134"/>
    </row>
    <row r="615">
      <c r="A615" s="134"/>
      <c r="D615" s="135"/>
      <c r="F615" s="136"/>
      <c r="H615" s="134"/>
      <c r="J615" s="134"/>
    </row>
    <row r="616">
      <c r="A616" s="134"/>
      <c r="D616" s="135"/>
      <c r="F616" s="136"/>
      <c r="H616" s="134"/>
      <c r="J616" s="134"/>
    </row>
    <row r="617">
      <c r="A617" s="134"/>
      <c r="D617" s="135"/>
      <c r="F617" s="136"/>
      <c r="H617" s="134"/>
      <c r="J617" s="134"/>
    </row>
    <row r="618">
      <c r="A618" s="134"/>
      <c r="D618" s="135"/>
      <c r="F618" s="136"/>
      <c r="H618" s="134"/>
      <c r="J618" s="134"/>
    </row>
    <row r="619">
      <c r="A619" s="134"/>
      <c r="D619" s="135"/>
      <c r="F619" s="136"/>
      <c r="H619" s="134"/>
      <c r="J619" s="134"/>
    </row>
    <row r="620">
      <c r="A620" s="134"/>
      <c r="D620" s="135"/>
      <c r="F620" s="136"/>
      <c r="H620" s="134"/>
      <c r="J620" s="134"/>
    </row>
    <row r="621">
      <c r="A621" s="134"/>
      <c r="D621" s="135"/>
      <c r="F621" s="136"/>
      <c r="H621" s="134"/>
      <c r="J621" s="134"/>
    </row>
    <row r="622">
      <c r="A622" s="134"/>
      <c r="D622" s="135"/>
      <c r="F622" s="136"/>
      <c r="H622" s="134"/>
      <c r="J622" s="134"/>
    </row>
    <row r="623">
      <c r="A623" s="134"/>
      <c r="D623" s="135"/>
      <c r="F623" s="136"/>
      <c r="H623" s="134"/>
      <c r="J623" s="134"/>
    </row>
    <row r="624">
      <c r="A624" s="134"/>
      <c r="D624" s="135"/>
      <c r="F624" s="136"/>
      <c r="H624" s="134"/>
      <c r="J624" s="134"/>
    </row>
    <row r="625">
      <c r="A625" s="134"/>
      <c r="D625" s="135"/>
      <c r="F625" s="136"/>
      <c r="H625" s="134"/>
      <c r="J625" s="134"/>
    </row>
    <row r="626">
      <c r="A626" s="134"/>
      <c r="D626" s="135"/>
      <c r="F626" s="136"/>
      <c r="H626" s="134"/>
      <c r="J626" s="134"/>
    </row>
    <row r="627">
      <c r="A627" s="134"/>
      <c r="D627" s="135"/>
      <c r="F627" s="136"/>
      <c r="H627" s="134"/>
      <c r="J627" s="134"/>
    </row>
    <row r="628">
      <c r="A628" s="134"/>
      <c r="D628" s="135"/>
      <c r="F628" s="136"/>
      <c r="H628" s="134"/>
      <c r="J628" s="134"/>
    </row>
    <row r="629">
      <c r="A629" s="134"/>
      <c r="D629" s="135"/>
      <c r="F629" s="136"/>
      <c r="H629" s="134"/>
      <c r="J629" s="134"/>
    </row>
    <row r="630">
      <c r="A630" s="134"/>
      <c r="D630" s="135"/>
      <c r="F630" s="136"/>
      <c r="H630" s="134"/>
      <c r="J630" s="134"/>
    </row>
    <row r="631">
      <c r="A631" s="134"/>
      <c r="D631" s="135"/>
      <c r="F631" s="136"/>
      <c r="H631" s="134"/>
      <c r="J631" s="134"/>
    </row>
    <row r="632">
      <c r="A632" s="134"/>
      <c r="D632" s="135"/>
      <c r="F632" s="136"/>
      <c r="H632" s="134"/>
      <c r="J632" s="134"/>
    </row>
    <row r="633">
      <c r="A633" s="134"/>
      <c r="D633" s="135"/>
      <c r="F633" s="136"/>
      <c r="H633" s="134"/>
      <c r="J633" s="134"/>
    </row>
    <row r="634">
      <c r="A634" s="134"/>
      <c r="D634" s="135"/>
      <c r="F634" s="136"/>
      <c r="H634" s="134"/>
      <c r="J634" s="134"/>
    </row>
    <row r="635">
      <c r="A635" s="134"/>
      <c r="D635" s="135"/>
      <c r="F635" s="136"/>
      <c r="H635" s="134"/>
      <c r="J635" s="134"/>
    </row>
    <row r="636">
      <c r="A636" s="134"/>
      <c r="D636" s="135"/>
      <c r="F636" s="136"/>
      <c r="H636" s="134"/>
      <c r="J636" s="134"/>
    </row>
    <row r="637">
      <c r="A637" s="134"/>
      <c r="D637" s="135"/>
      <c r="F637" s="136"/>
      <c r="H637" s="134"/>
      <c r="J637" s="134"/>
    </row>
    <row r="638">
      <c r="A638" s="134"/>
      <c r="D638" s="135"/>
      <c r="F638" s="136"/>
      <c r="H638" s="134"/>
      <c r="J638" s="134"/>
    </row>
    <row r="639">
      <c r="A639" s="134"/>
      <c r="D639" s="135"/>
      <c r="F639" s="136"/>
      <c r="H639" s="134"/>
      <c r="J639" s="134"/>
    </row>
    <row r="640">
      <c r="A640" s="134"/>
      <c r="D640" s="135"/>
      <c r="F640" s="136"/>
      <c r="H640" s="134"/>
      <c r="J640" s="134"/>
    </row>
    <row r="641">
      <c r="A641" s="134"/>
      <c r="D641" s="135"/>
      <c r="F641" s="136"/>
      <c r="H641" s="134"/>
      <c r="J641" s="134"/>
    </row>
    <row r="642">
      <c r="A642" s="134"/>
      <c r="D642" s="135"/>
      <c r="F642" s="136"/>
      <c r="H642" s="134"/>
      <c r="J642" s="134"/>
    </row>
    <row r="643">
      <c r="A643" s="134"/>
      <c r="D643" s="135"/>
      <c r="F643" s="136"/>
      <c r="H643" s="134"/>
      <c r="J643" s="134"/>
    </row>
    <row r="644">
      <c r="A644" s="134"/>
      <c r="D644" s="135"/>
      <c r="F644" s="136"/>
      <c r="H644" s="134"/>
      <c r="J644" s="134"/>
    </row>
    <row r="645">
      <c r="A645" s="134"/>
      <c r="D645" s="135"/>
      <c r="F645" s="136"/>
      <c r="H645" s="134"/>
      <c r="J645" s="134"/>
    </row>
    <row r="646">
      <c r="A646" s="134"/>
      <c r="D646" s="135"/>
      <c r="F646" s="136"/>
      <c r="H646" s="134"/>
      <c r="J646" s="134"/>
    </row>
    <row r="647">
      <c r="A647" s="134"/>
      <c r="D647" s="135"/>
      <c r="F647" s="136"/>
      <c r="H647" s="134"/>
      <c r="J647" s="134"/>
    </row>
    <row r="648">
      <c r="A648" s="134"/>
      <c r="D648" s="135"/>
      <c r="F648" s="136"/>
      <c r="H648" s="134"/>
      <c r="J648" s="134"/>
    </row>
    <row r="649">
      <c r="A649" s="134"/>
      <c r="D649" s="135"/>
      <c r="F649" s="136"/>
      <c r="H649" s="134"/>
      <c r="J649" s="134"/>
    </row>
    <row r="650">
      <c r="A650" s="134"/>
      <c r="D650" s="135"/>
      <c r="F650" s="136"/>
      <c r="H650" s="134"/>
      <c r="J650" s="134"/>
    </row>
    <row r="651">
      <c r="A651" s="134"/>
      <c r="D651" s="135"/>
      <c r="F651" s="136"/>
      <c r="H651" s="134"/>
      <c r="J651" s="134"/>
    </row>
    <row r="652">
      <c r="A652" s="134"/>
      <c r="D652" s="135"/>
      <c r="F652" s="136"/>
      <c r="H652" s="134"/>
      <c r="J652" s="134"/>
    </row>
    <row r="653">
      <c r="A653" s="134"/>
      <c r="D653" s="135"/>
      <c r="F653" s="136"/>
      <c r="H653" s="134"/>
      <c r="J653" s="134"/>
    </row>
    <row r="654">
      <c r="A654" s="134"/>
      <c r="D654" s="135"/>
      <c r="F654" s="136"/>
      <c r="H654" s="134"/>
      <c r="J654" s="134"/>
    </row>
    <row r="655">
      <c r="A655" s="134"/>
      <c r="D655" s="135"/>
      <c r="F655" s="136"/>
      <c r="H655" s="134"/>
      <c r="J655" s="134"/>
    </row>
    <row r="656">
      <c r="A656" s="134"/>
      <c r="D656" s="135"/>
      <c r="F656" s="136"/>
      <c r="H656" s="134"/>
      <c r="J656" s="134"/>
    </row>
    <row r="657">
      <c r="A657" s="134"/>
      <c r="D657" s="135"/>
      <c r="F657" s="136"/>
      <c r="H657" s="134"/>
      <c r="J657" s="134"/>
    </row>
    <row r="658">
      <c r="A658" s="134"/>
      <c r="D658" s="135"/>
      <c r="F658" s="136"/>
      <c r="H658" s="134"/>
      <c r="J658" s="134"/>
    </row>
    <row r="659">
      <c r="A659" s="134"/>
      <c r="D659" s="135"/>
      <c r="F659" s="136"/>
      <c r="H659" s="134"/>
      <c r="J659" s="134"/>
    </row>
    <row r="660">
      <c r="A660" s="134"/>
      <c r="D660" s="135"/>
      <c r="F660" s="136"/>
      <c r="H660" s="134"/>
      <c r="J660" s="134"/>
    </row>
    <row r="661">
      <c r="A661" s="134"/>
      <c r="D661" s="135"/>
      <c r="F661" s="136"/>
      <c r="H661" s="134"/>
      <c r="J661" s="134"/>
    </row>
    <row r="662">
      <c r="A662" s="134"/>
      <c r="D662" s="135"/>
      <c r="F662" s="136"/>
      <c r="H662" s="134"/>
      <c r="J662" s="134"/>
    </row>
    <row r="663">
      <c r="A663" s="134"/>
      <c r="D663" s="135"/>
      <c r="F663" s="136"/>
      <c r="H663" s="134"/>
      <c r="J663" s="134"/>
    </row>
    <row r="664">
      <c r="A664" s="134"/>
      <c r="D664" s="135"/>
      <c r="F664" s="136"/>
      <c r="H664" s="134"/>
      <c r="J664" s="134"/>
    </row>
    <row r="665">
      <c r="A665" s="134"/>
      <c r="D665" s="135"/>
      <c r="F665" s="136"/>
      <c r="H665" s="134"/>
      <c r="J665" s="134"/>
    </row>
    <row r="666">
      <c r="A666" s="134"/>
      <c r="D666" s="135"/>
      <c r="F666" s="136"/>
      <c r="H666" s="134"/>
      <c r="J666" s="134"/>
    </row>
    <row r="667">
      <c r="A667" s="134"/>
      <c r="D667" s="135"/>
      <c r="F667" s="136"/>
      <c r="H667" s="134"/>
      <c r="J667" s="134"/>
    </row>
    <row r="668">
      <c r="A668" s="134"/>
      <c r="D668" s="135"/>
      <c r="F668" s="136"/>
      <c r="H668" s="134"/>
      <c r="J668" s="134"/>
    </row>
    <row r="669">
      <c r="A669" s="134"/>
      <c r="D669" s="135"/>
      <c r="F669" s="136"/>
      <c r="H669" s="134"/>
      <c r="J669" s="134"/>
    </row>
    <row r="670">
      <c r="A670" s="134"/>
      <c r="D670" s="135"/>
      <c r="F670" s="136"/>
      <c r="H670" s="134"/>
      <c r="J670" s="134"/>
    </row>
    <row r="671">
      <c r="A671" s="134"/>
      <c r="D671" s="135"/>
      <c r="F671" s="136"/>
      <c r="H671" s="134"/>
      <c r="J671" s="134"/>
    </row>
    <row r="672">
      <c r="A672" s="134"/>
      <c r="D672" s="135"/>
      <c r="F672" s="136"/>
      <c r="H672" s="134"/>
      <c r="J672" s="134"/>
    </row>
    <row r="673">
      <c r="A673" s="134"/>
      <c r="D673" s="135"/>
      <c r="F673" s="136"/>
      <c r="H673" s="134"/>
      <c r="J673" s="134"/>
    </row>
    <row r="674">
      <c r="A674" s="134"/>
      <c r="D674" s="135"/>
      <c r="F674" s="136"/>
      <c r="H674" s="134"/>
      <c r="J674" s="134"/>
    </row>
    <row r="675">
      <c r="A675" s="134"/>
      <c r="D675" s="135"/>
      <c r="F675" s="136"/>
      <c r="H675" s="134"/>
      <c r="J675" s="134"/>
    </row>
    <row r="676">
      <c r="A676" s="134"/>
      <c r="D676" s="135"/>
      <c r="F676" s="136"/>
      <c r="H676" s="134"/>
      <c r="J676" s="134"/>
    </row>
    <row r="677">
      <c r="A677" s="134"/>
      <c r="D677" s="135"/>
      <c r="F677" s="136"/>
      <c r="H677" s="134"/>
      <c r="J677" s="134"/>
    </row>
    <row r="678">
      <c r="A678" s="134"/>
      <c r="D678" s="135"/>
      <c r="F678" s="136"/>
      <c r="H678" s="134"/>
      <c r="J678" s="134"/>
    </row>
    <row r="679">
      <c r="A679" s="134"/>
      <c r="D679" s="135"/>
      <c r="F679" s="136"/>
      <c r="H679" s="134"/>
      <c r="J679" s="134"/>
    </row>
    <row r="680">
      <c r="A680" s="134"/>
      <c r="D680" s="135"/>
      <c r="F680" s="136"/>
      <c r="H680" s="134"/>
      <c r="J680" s="134"/>
    </row>
    <row r="681">
      <c r="A681" s="134"/>
      <c r="D681" s="135"/>
      <c r="F681" s="136"/>
      <c r="H681" s="134"/>
      <c r="J681" s="134"/>
    </row>
    <row r="682">
      <c r="A682" s="134"/>
      <c r="D682" s="135"/>
      <c r="F682" s="136"/>
      <c r="H682" s="134"/>
      <c r="J682" s="134"/>
    </row>
    <row r="683">
      <c r="A683" s="134"/>
      <c r="D683" s="135"/>
      <c r="F683" s="136"/>
      <c r="H683" s="134"/>
      <c r="J683" s="134"/>
    </row>
    <row r="684">
      <c r="A684" s="134"/>
      <c r="D684" s="135"/>
      <c r="F684" s="136"/>
      <c r="H684" s="134"/>
      <c r="J684" s="134"/>
    </row>
    <row r="685">
      <c r="A685" s="134"/>
      <c r="D685" s="135"/>
      <c r="F685" s="136"/>
      <c r="H685" s="134"/>
      <c r="J685" s="134"/>
    </row>
    <row r="686">
      <c r="A686" s="134"/>
      <c r="D686" s="135"/>
      <c r="F686" s="136"/>
      <c r="H686" s="134"/>
      <c r="J686" s="134"/>
    </row>
    <row r="687">
      <c r="A687" s="134"/>
      <c r="D687" s="135"/>
      <c r="F687" s="136"/>
      <c r="H687" s="134"/>
      <c r="J687" s="134"/>
    </row>
    <row r="688">
      <c r="A688" s="134"/>
      <c r="D688" s="135"/>
      <c r="F688" s="136"/>
      <c r="H688" s="134"/>
      <c r="J688" s="134"/>
    </row>
    <row r="689">
      <c r="A689" s="134"/>
      <c r="D689" s="135"/>
      <c r="F689" s="136"/>
      <c r="H689" s="134"/>
      <c r="J689" s="134"/>
    </row>
    <row r="690">
      <c r="A690" s="134"/>
      <c r="D690" s="135"/>
      <c r="F690" s="136"/>
      <c r="H690" s="134"/>
      <c r="J690" s="134"/>
    </row>
    <row r="691">
      <c r="A691" s="134"/>
      <c r="D691" s="135"/>
      <c r="F691" s="136"/>
      <c r="H691" s="134"/>
      <c r="J691" s="134"/>
    </row>
    <row r="692">
      <c r="A692" s="134"/>
      <c r="D692" s="135"/>
      <c r="F692" s="136"/>
      <c r="H692" s="134"/>
      <c r="J692" s="134"/>
    </row>
    <row r="693">
      <c r="A693" s="134"/>
      <c r="D693" s="135"/>
      <c r="F693" s="136"/>
      <c r="H693" s="134"/>
      <c r="J693" s="134"/>
    </row>
    <row r="694">
      <c r="A694" s="134"/>
      <c r="D694" s="135"/>
      <c r="F694" s="136"/>
      <c r="H694" s="134"/>
      <c r="J694" s="134"/>
    </row>
    <row r="695">
      <c r="A695" s="134"/>
      <c r="D695" s="135"/>
      <c r="F695" s="136"/>
      <c r="H695" s="134"/>
      <c r="J695" s="134"/>
    </row>
    <row r="696">
      <c r="A696" s="134"/>
      <c r="D696" s="135"/>
      <c r="F696" s="136"/>
      <c r="H696" s="134"/>
      <c r="J696" s="134"/>
    </row>
    <row r="697">
      <c r="A697" s="134"/>
      <c r="D697" s="135"/>
      <c r="F697" s="136"/>
      <c r="H697" s="134"/>
      <c r="J697" s="134"/>
    </row>
    <row r="698">
      <c r="A698" s="134"/>
      <c r="D698" s="135"/>
      <c r="F698" s="136"/>
      <c r="H698" s="134"/>
      <c r="J698" s="134"/>
    </row>
    <row r="699">
      <c r="A699" s="134"/>
      <c r="D699" s="135"/>
      <c r="F699" s="136"/>
      <c r="H699" s="134"/>
      <c r="J699" s="134"/>
    </row>
    <row r="700">
      <c r="A700" s="134"/>
      <c r="D700" s="135"/>
      <c r="F700" s="136"/>
      <c r="H700" s="134"/>
      <c r="J700" s="134"/>
    </row>
    <row r="701">
      <c r="A701" s="134"/>
      <c r="D701" s="135"/>
      <c r="F701" s="136"/>
      <c r="H701" s="134"/>
      <c r="J701" s="134"/>
    </row>
    <row r="702">
      <c r="A702" s="134"/>
      <c r="D702" s="135"/>
      <c r="F702" s="136"/>
      <c r="H702" s="134"/>
      <c r="J702" s="134"/>
    </row>
    <row r="703">
      <c r="A703" s="134"/>
      <c r="D703" s="135"/>
      <c r="F703" s="136"/>
      <c r="H703" s="134"/>
      <c r="J703" s="134"/>
    </row>
    <row r="704">
      <c r="A704" s="134"/>
      <c r="D704" s="135"/>
      <c r="F704" s="136"/>
      <c r="H704" s="134"/>
      <c r="J704" s="134"/>
    </row>
    <row r="705">
      <c r="A705" s="134"/>
      <c r="D705" s="135"/>
      <c r="F705" s="136"/>
      <c r="H705" s="134"/>
      <c r="J705" s="134"/>
    </row>
    <row r="706">
      <c r="A706" s="134"/>
      <c r="D706" s="135"/>
      <c r="F706" s="136"/>
      <c r="H706" s="134"/>
      <c r="J706" s="134"/>
    </row>
    <row r="707">
      <c r="A707" s="134"/>
      <c r="D707" s="135"/>
      <c r="F707" s="136"/>
      <c r="H707" s="134"/>
      <c r="J707" s="134"/>
    </row>
    <row r="708">
      <c r="A708" s="134"/>
      <c r="D708" s="135"/>
      <c r="F708" s="136"/>
      <c r="H708" s="134"/>
      <c r="J708" s="134"/>
    </row>
    <row r="709">
      <c r="A709" s="134"/>
      <c r="D709" s="135"/>
      <c r="F709" s="136"/>
      <c r="H709" s="134"/>
      <c r="J709" s="134"/>
    </row>
    <row r="710">
      <c r="A710" s="134"/>
      <c r="D710" s="135"/>
      <c r="F710" s="136"/>
      <c r="H710" s="134"/>
      <c r="J710" s="134"/>
    </row>
    <row r="711">
      <c r="A711" s="134"/>
      <c r="D711" s="135"/>
      <c r="F711" s="136"/>
      <c r="H711" s="134"/>
      <c r="J711" s="134"/>
    </row>
    <row r="712">
      <c r="A712" s="134"/>
      <c r="D712" s="135"/>
      <c r="F712" s="136"/>
      <c r="H712" s="134"/>
      <c r="J712" s="134"/>
    </row>
    <row r="713">
      <c r="A713" s="134"/>
      <c r="D713" s="135"/>
      <c r="F713" s="136"/>
      <c r="H713" s="134"/>
      <c r="J713" s="134"/>
    </row>
    <row r="714">
      <c r="A714" s="134"/>
      <c r="D714" s="135"/>
      <c r="F714" s="136"/>
      <c r="H714" s="134"/>
      <c r="J714" s="134"/>
    </row>
    <row r="715">
      <c r="A715" s="134"/>
      <c r="D715" s="135"/>
      <c r="F715" s="136"/>
      <c r="H715" s="134"/>
      <c r="J715" s="134"/>
    </row>
    <row r="716">
      <c r="A716" s="134"/>
      <c r="D716" s="135"/>
      <c r="F716" s="136"/>
      <c r="H716" s="134"/>
      <c r="J716" s="134"/>
    </row>
    <row r="717">
      <c r="A717" s="134"/>
      <c r="D717" s="135"/>
      <c r="F717" s="136"/>
      <c r="H717" s="134"/>
      <c r="J717" s="134"/>
    </row>
    <row r="718">
      <c r="A718" s="134"/>
      <c r="D718" s="135"/>
      <c r="F718" s="136"/>
      <c r="H718" s="134"/>
      <c r="J718" s="134"/>
    </row>
    <row r="719">
      <c r="A719" s="134"/>
      <c r="D719" s="135"/>
      <c r="F719" s="136"/>
      <c r="H719" s="134"/>
      <c r="J719" s="134"/>
    </row>
    <row r="720">
      <c r="A720" s="134"/>
      <c r="D720" s="135"/>
      <c r="F720" s="136"/>
      <c r="H720" s="134"/>
      <c r="J720" s="134"/>
    </row>
    <row r="721">
      <c r="A721" s="134"/>
      <c r="D721" s="135"/>
      <c r="F721" s="136"/>
      <c r="H721" s="134"/>
      <c r="J721" s="134"/>
    </row>
    <row r="722">
      <c r="A722" s="134"/>
      <c r="D722" s="135"/>
      <c r="F722" s="136"/>
      <c r="H722" s="134"/>
      <c r="J722" s="134"/>
    </row>
    <row r="723">
      <c r="A723" s="134"/>
      <c r="D723" s="135"/>
      <c r="F723" s="136"/>
      <c r="H723" s="134"/>
      <c r="J723" s="134"/>
    </row>
    <row r="724">
      <c r="A724" s="134"/>
      <c r="D724" s="135"/>
      <c r="F724" s="136"/>
      <c r="H724" s="134"/>
      <c r="J724" s="134"/>
    </row>
    <row r="725">
      <c r="A725" s="134"/>
      <c r="D725" s="135"/>
      <c r="F725" s="136"/>
      <c r="H725" s="134"/>
      <c r="J725" s="134"/>
    </row>
    <row r="726">
      <c r="A726" s="134"/>
      <c r="D726" s="135"/>
      <c r="F726" s="136"/>
      <c r="H726" s="134"/>
      <c r="J726" s="134"/>
    </row>
    <row r="727">
      <c r="A727" s="134"/>
      <c r="D727" s="135"/>
      <c r="F727" s="136"/>
      <c r="H727" s="134"/>
      <c r="J727" s="134"/>
    </row>
    <row r="728">
      <c r="A728" s="134"/>
      <c r="D728" s="135"/>
      <c r="F728" s="136"/>
      <c r="H728" s="134"/>
      <c r="J728" s="134"/>
    </row>
    <row r="729">
      <c r="A729" s="134"/>
      <c r="D729" s="135"/>
      <c r="F729" s="136"/>
      <c r="H729" s="134"/>
      <c r="J729" s="134"/>
    </row>
    <row r="730">
      <c r="A730" s="134"/>
      <c r="D730" s="135"/>
      <c r="F730" s="136"/>
      <c r="H730" s="134"/>
      <c r="J730" s="134"/>
    </row>
    <row r="731">
      <c r="A731" s="134"/>
      <c r="D731" s="135"/>
      <c r="F731" s="136"/>
      <c r="H731" s="134"/>
      <c r="J731" s="134"/>
    </row>
    <row r="732">
      <c r="A732" s="134"/>
      <c r="D732" s="135"/>
      <c r="F732" s="136"/>
      <c r="H732" s="134"/>
      <c r="J732" s="134"/>
    </row>
    <row r="733">
      <c r="A733" s="134"/>
      <c r="D733" s="135"/>
      <c r="F733" s="136"/>
      <c r="H733" s="134"/>
      <c r="J733" s="134"/>
    </row>
    <row r="734">
      <c r="A734" s="134"/>
      <c r="D734" s="135"/>
      <c r="F734" s="136"/>
      <c r="H734" s="134"/>
      <c r="J734" s="134"/>
    </row>
    <row r="735">
      <c r="A735" s="134"/>
      <c r="D735" s="135"/>
      <c r="F735" s="136"/>
      <c r="H735" s="134"/>
      <c r="J735" s="134"/>
    </row>
    <row r="736">
      <c r="A736" s="134"/>
      <c r="D736" s="135"/>
      <c r="F736" s="136"/>
      <c r="H736" s="134"/>
      <c r="J736" s="134"/>
    </row>
    <row r="737">
      <c r="A737" s="134"/>
      <c r="D737" s="135"/>
      <c r="F737" s="136"/>
      <c r="H737" s="134"/>
      <c r="J737" s="134"/>
    </row>
    <row r="738">
      <c r="A738" s="134"/>
      <c r="D738" s="135"/>
      <c r="F738" s="136"/>
      <c r="H738" s="134"/>
      <c r="J738" s="134"/>
    </row>
    <row r="739">
      <c r="A739" s="134"/>
      <c r="D739" s="135"/>
      <c r="F739" s="136"/>
      <c r="H739" s="134"/>
      <c r="J739" s="134"/>
    </row>
    <row r="740">
      <c r="A740" s="134"/>
      <c r="D740" s="135"/>
      <c r="F740" s="136"/>
      <c r="H740" s="134"/>
      <c r="J740" s="134"/>
    </row>
    <row r="741">
      <c r="A741" s="134"/>
      <c r="D741" s="135"/>
      <c r="F741" s="136"/>
      <c r="H741" s="134"/>
      <c r="J741" s="134"/>
    </row>
    <row r="742">
      <c r="A742" s="134"/>
      <c r="D742" s="135"/>
      <c r="F742" s="136"/>
      <c r="H742" s="134"/>
      <c r="J742" s="134"/>
    </row>
    <row r="743">
      <c r="A743" s="134"/>
      <c r="D743" s="135"/>
      <c r="F743" s="136"/>
      <c r="H743" s="134"/>
      <c r="J743" s="134"/>
    </row>
    <row r="744">
      <c r="A744" s="134"/>
      <c r="D744" s="135"/>
      <c r="F744" s="136"/>
      <c r="H744" s="134"/>
      <c r="J744" s="134"/>
    </row>
    <row r="745">
      <c r="A745" s="134"/>
      <c r="D745" s="135"/>
      <c r="F745" s="136"/>
      <c r="H745" s="134"/>
      <c r="J745" s="134"/>
    </row>
    <row r="746">
      <c r="A746" s="134"/>
      <c r="D746" s="135"/>
      <c r="F746" s="136"/>
      <c r="H746" s="134"/>
      <c r="J746" s="134"/>
    </row>
    <row r="747">
      <c r="A747" s="134"/>
      <c r="D747" s="135"/>
      <c r="F747" s="136"/>
      <c r="H747" s="134"/>
      <c r="J747" s="134"/>
    </row>
    <row r="748">
      <c r="A748" s="134"/>
      <c r="D748" s="135"/>
      <c r="F748" s="136"/>
      <c r="H748" s="134"/>
      <c r="J748" s="134"/>
    </row>
    <row r="749">
      <c r="A749" s="134"/>
      <c r="D749" s="135"/>
      <c r="F749" s="136"/>
      <c r="H749" s="134"/>
      <c r="J749" s="134"/>
    </row>
    <row r="750">
      <c r="A750" s="134"/>
      <c r="D750" s="135"/>
      <c r="F750" s="136"/>
      <c r="H750" s="134"/>
      <c r="J750" s="134"/>
    </row>
    <row r="751">
      <c r="A751" s="134"/>
      <c r="D751" s="135"/>
      <c r="F751" s="136"/>
      <c r="H751" s="134"/>
      <c r="J751" s="134"/>
    </row>
    <row r="752">
      <c r="A752" s="134"/>
      <c r="D752" s="135"/>
      <c r="F752" s="136"/>
      <c r="H752" s="134"/>
      <c r="J752" s="134"/>
    </row>
    <row r="753">
      <c r="A753" s="134"/>
      <c r="D753" s="135"/>
      <c r="F753" s="136"/>
      <c r="H753" s="134"/>
      <c r="J753" s="134"/>
    </row>
    <row r="754">
      <c r="A754" s="134"/>
      <c r="D754" s="135"/>
      <c r="F754" s="136"/>
      <c r="H754" s="134"/>
      <c r="J754" s="134"/>
    </row>
    <row r="755">
      <c r="A755" s="134"/>
      <c r="D755" s="135"/>
      <c r="F755" s="136"/>
      <c r="H755" s="134"/>
      <c r="J755" s="134"/>
    </row>
    <row r="756">
      <c r="A756" s="134"/>
      <c r="D756" s="135"/>
      <c r="F756" s="136"/>
      <c r="H756" s="134"/>
      <c r="J756" s="134"/>
    </row>
    <row r="757">
      <c r="A757" s="134"/>
      <c r="D757" s="135"/>
      <c r="F757" s="136"/>
      <c r="H757" s="134"/>
      <c r="J757" s="134"/>
    </row>
    <row r="758">
      <c r="A758" s="134"/>
      <c r="D758" s="135"/>
      <c r="F758" s="136"/>
      <c r="H758" s="134"/>
      <c r="J758" s="134"/>
    </row>
    <row r="759">
      <c r="A759" s="134"/>
      <c r="D759" s="135"/>
      <c r="F759" s="136"/>
      <c r="H759" s="134"/>
      <c r="J759" s="134"/>
    </row>
    <row r="760">
      <c r="A760" s="134"/>
      <c r="D760" s="135"/>
      <c r="F760" s="136"/>
      <c r="H760" s="134"/>
      <c r="J760" s="134"/>
    </row>
    <row r="761">
      <c r="A761" s="134"/>
      <c r="D761" s="135"/>
      <c r="F761" s="136"/>
      <c r="H761" s="134"/>
      <c r="J761" s="134"/>
    </row>
    <row r="762">
      <c r="A762" s="134"/>
      <c r="D762" s="135"/>
      <c r="F762" s="136"/>
      <c r="H762" s="134"/>
      <c r="J762" s="134"/>
    </row>
    <row r="763">
      <c r="A763" s="134"/>
      <c r="D763" s="135"/>
      <c r="F763" s="136"/>
      <c r="H763" s="134"/>
      <c r="J763" s="134"/>
    </row>
    <row r="764">
      <c r="A764" s="134"/>
      <c r="D764" s="135"/>
      <c r="F764" s="136"/>
      <c r="H764" s="134"/>
      <c r="J764" s="134"/>
    </row>
    <row r="765">
      <c r="A765" s="134"/>
      <c r="D765" s="135"/>
      <c r="F765" s="136"/>
      <c r="H765" s="134"/>
      <c r="J765" s="134"/>
    </row>
    <row r="766">
      <c r="A766" s="134"/>
      <c r="D766" s="135"/>
      <c r="F766" s="136"/>
      <c r="H766" s="134"/>
      <c r="J766" s="134"/>
    </row>
    <row r="767">
      <c r="A767" s="134"/>
      <c r="D767" s="135"/>
      <c r="F767" s="136"/>
      <c r="H767" s="134"/>
      <c r="J767" s="134"/>
    </row>
    <row r="768">
      <c r="A768" s="134"/>
      <c r="D768" s="135"/>
      <c r="F768" s="136"/>
      <c r="H768" s="134"/>
      <c r="J768" s="134"/>
    </row>
    <row r="769">
      <c r="A769" s="134"/>
      <c r="D769" s="135"/>
      <c r="F769" s="136"/>
      <c r="H769" s="134"/>
      <c r="J769" s="134"/>
    </row>
    <row r="770">
      <c r="A770" s="134"/>
      <c r="D770" s="135"/>
      <c r="F770" s="136"/>
      <c r="H770" s="134"/>
      <c r="J770" s="134"/>
    </row>
    <row r="771">
      <c r="A771" s="134"/>
      <c r="D771" s="135"/>
      <c r="F771" s="136"/>
      <c r="H771" s="134"/>
      <c r="J771" s="134"/>
    </row>
    <row r="772">
      <c r="A772" s="134"/>
      <c r="D772" s="135"/>
      <c r="F772" s="136"/>
      <c r="H772" s="134"/>
      <c r="J772" s="134"/>
    </row>
    <row r="773">
      <c r="A773" s="134"/>
      <c r="D773" s="135"/>
      <c r="F773" s="136"/>
      <c r="H773" s="134"/>
      <c r="J773" s="134"/>
    </row>
    <row r="774">
      <c r="A774" s="134"/>
      <c r="D774" s="135"/>
      <c r="F774" s="136"/>
      <c r="H774" s="134"/>
      <c r="J774" s="134"/>
    </row>
    <row r="775">
      <c r="A775" s="134"/>
      <c r="D775" s="135"/>
      <c r="F775" s="136"/>
      <c r="H775" s="134"/>
      <c r="J775" s="134"/>
    </row>
    <row r="776">
      <c r="A776" s="134"/>
      <c r="D776" s="135"/>
      <c r="F776" s="136"/>
      <c r="H776" s="134"/>
      <c r="J776" s="134"/>
    </row>
    <row r="777">
      <c r="A777" s="134"/>
      <c r="D777" s="135"/>
      <c r="F777" s="136"/>
      <c r="H777" s="134"/>
      <c r="J777" s="134"/>
    </row>
    <row r="778">
      <c r="A778" s="134"/>
      <c r="D778" s="135"/>
      <c r="F778" s="136"/>
      <c r="H778" s="134"/>
      <c r="J778" s="134"/>
    </row>
    <row r="779">
      <c r="A779" s="134"/>
      <c r="D779" s="135"/>
      <c r="F779" s="136"/>
      <c r="H779" s="134"/>
      <c r="J779" s="134"/>
    </row>
    <row r="780">
      <c r="A780" s="134"/>
      <c r="D780" s="135"/>
      <c r="F780" s="136"/>
      <c r="H780" s="134"/>
      <c r="J780" s="134"/>
    </row>
    <row r="781">
      <c r="A781" s="134"/>
      <c r="D781" s="135"/>
      <c r="F781" s="136"/>
      <c r="H781" s="134"/>
      <c r="J781" s="134"/>
    </row>
    <row r="782">
      <c r="A782" s="134"/>
      <c r="D782" s="135"/>
      <c r="F782" s="136"/>
      <c r="H782" s="134"/>
      <c r="J782" s="134"/>
    </row>
    <row r="783">
      <c r="A783" s="134"/>
      <c r="D783" s="135"/>
      <c r="F783" s="136"/>
      <c r="H783" s="134"/>
      <c r="J783" s="134"/>
    </row>
    <row r="784">
      <c r="A784" s="134"/>
      <c r="D784" s="135"/>
      <c r="F784" s="136"/>
      <c r="H784" s="134"/>
      <c r="J784" s="134"/>
    </row>
    <row r="785">
      <c r="A785" s="134"/>
      <c r="D785" s="135"/>
      <c r="F785" s="136"/>
      <c r="H785" s="134"/>
      <c r="J785" s="134"/>
    </row>
    <row r="786">
      <c r="A786" s="134"/>
      <c r="D786" s="135"/>
      <c r="F786" s="136"/>
      <c r="H786" s="134"/>
      <c r="J786" s="134"/>
    </row>
    <row r="787">
      <c r="A787" s="134"/>
      <c r="D787" s="135"/>
      <c r="F787" s="136"/>
      <c r="H787" s="134"/>
      <c r="J787" s="134"/>
    </row>
    <row r="788">
      <c r="A788" s="134"/>
      <c r="D788" s="135"/>
      <c r="F788" s="136"/>
      <c r="H788" s="134"/>
      <c r="J788" s="134"/>
    </row>
    <row r="789">
      <c r="A789" s="134"/>
      <c r="D789" s="135"/>
      <c r="F789" s="136"/>
      <c r="H789" s="134"/>
      <c r="J789" s="134"/>
    </row>
    <row r="790">
      <c r="A790" s="134"/>
      <c r="D790" s="135"/>
      <c r="F790" s="136"/>
      <c r="H790" s="134"/>
      <c r="J790" s="134"/>
    </row>
    <row r="791">
      <c r="A791" s="134"/>
      <c r="D791" s="135"/>
      <c r="F791" s="136"/>
      <c r="H791" s="134"/>
      <c r="J791" s="134"/>
    </row>
    <row r="792">
      <c r="A792" s="134"/>
      <c r="D792" s="135"/>
      <c r="F792" s="136"/>
      <c r="H792" s="134"/>
      <c r="J792" s="134"/>
    </row>
    <row r="793">
      <c r="A793" s="134"/>
      <c r="D793" s="135"/>
      <c r="F793" s="136"/>
      <c r="H793" s="134"/>
      <c r="J793" s="134"/>
    </row>
    <row r="794">
      <c r="A794" s="134"/>
      <c r="D794" s="135"/>
      <c r="F794" s="136"/>
      <c r="H794" s="134"/>
      <c r="J794" s="134"/>
    </row>
    <row r="795">
      <c r="A795" s="134"/>
      <c r="D795" s="135"/>
      <c r="F795" s="136"/>
      <c r="H795" s="134"/>
      <c r="J795" s="134"/>
    </row>
    <row r="796">
      <c r="A796" s="134"/>
      <c r="D796" s="135"/>
      <c r="F796" s="136"/>
      <c r="H796" s="134"/>
      <c r="J796" s="134"/>
    </row>
    <row r="797">
      <c r="A797" s="134"/>
      <c r="D797" s="135"/>
      <c r="F797" s="136"/>
      <c r="H797" s="134"/>
      <c r="J797" s="134"/>
    </row>
    <row r="798">
      <c r="A798" s="134"/>
      <c r="D798" s="135"/>
      <c r="F798" s="136"/>
      <c r="H798" s="134"/>
      <c r="J798" s="134"/>
    </row>
    <row r="799">
      <c r="A799" s="134"/>
      <c r="D799" s="135"/>
      <c r="F799" s="136"/>
      <c r="H799" s="134"/>
      <c r="J799" s="134"/>
    </row>
    <row r="800">
      <c r="A800" s="134"/>
      <c r="D800" s="135"/>
      <c r="F800" s="136"/>
      <c r="H800" s="134"/>
      <c r="J800" s="134"/>
    </row>
    <row r="801">
      <c r="A801" s="134"/>
      <c r="D801" s="135"/>
      <c r="F801" s="136"/>
      <c r="H801" s="134"/>
      <c r="J801" s="134"/>
    </row>
    <row r="802">
      <c r="A802" s="134"/>
      <c r="D802" s="135"/>
      <c r="F802" s="136"/>
      <c r="H802" s="134"/>
      <c r="J802" s="134"/>
    </row>
    <row r="803">
      <c r="A803" s="134"/>
      <c r="D803" s="135"/>
      <c r="F803" s="136"/>
      <c r="H803" s="134"/>
      <c r="J803" s="134"/>
    </row>
    <row r="804">
      <c r="A804" s="134"/>
      <c r="D804" s="135"/>
      <c r="F804" s="136"/>
      <c r="H804" s="134"/>
      <c r="J804" s="134"/>
    </row>
    <row r="805">
      <c r="A805" s="134"/>
      <c r="D805" s="135"/>
      <c r="F805" s="136"/>
      <c r="H805" s="134"/>
      <c r="J805" s="134"/>
    </row>
    <row r="806">
      <c r="A806" s="134"/>
      <c r="D806" s="135"/>
      <c r="F806" s="136"/>
      <c r="H806" s="134"/>
      <c r="J806" s="134"/>
    </row>
    <row r="807">
      <c r="A807" s="134"/>
      <c r="D807" s="135"/>
      <c r="F807" s="136"/>
      <c r="H807" s="134"/>
      <c r="J807" s="134"/>
    </row>
    <row r="808">
      <c r="A808" s="134"/>
      <c r="D808" s="135"/>
      <c r="F808" s="136"/>
      <c r="H808" s="134"/>
      <c r="J808" s="134"/>
    </row>
    <row r="809">
      <c r="A809" s="134"/>
      <c r="D809" s="135"/>
      <c r="F809" s="136"/>
      <c r="H809" s="134"/>
      <c r="J809" s="134"/>
    </row>
    <row r="810">
      <c r="A810" s="134"/>
      <c r="D810" s="135"/>
      <c r="F810" s="136"/>
      <c r="H810" s="134"/>
      <c r="J810" s="134"/>
    </row>
    <row r="811">
      <c r="A811" s="134"/>
      <c r="D811" s="135"/>
      <c r="F811" s="136"/>
      <c r="H811" s="134"/>
      <c r="J811" s="134"/>
    </row>
    <row r="812">
      <c r="A812" s="134"/>
      <c r="D812" s="135"/>
      <c r="F812" s="136"/>
      <c r="H812" s="134"/>
      <c r="J812" s="134"/>
    </row>
    <row r="813">
      <c r="A813" s="134"/>
      <c r="D813" s="135"/>
      <c r="F813" s="136"/>
      <c r="H813" s="134"/>
      <c r="J813" s="134"/>
    </row>
    <row r="814">
      <c r="A814" s="134"/>
      <c r="D814" s="135"/>
      <c r="F814" s="136"/>
      <c r="H814" s="134"/>
      <c r="J814" s="134"/>
    </row>
    <row r="815">
      <c r="A815" s="134"/>
      <c r="D815" s="135"/>
      <c r="F815" s="136"/>
      <c r="H815" s="134"/>
      <c r="J815" s="134"/>
    </row>
    <row r="816">
      <c r="A816" s="134"/>
      <c r="D816" s="135"/>
      <c r="F816" s="136"/>
      <c r="H816" s="134"/>
      <c r="J816" s="134"/>
    </row>
    <row r="817">
      <c r="A817" s="134"/>
      <c r="D817" s="135"/>
      <c r="F817" s="136"/>
      <c r="H817" s="134"/>
      <c r="J817" s="134"/>
    </row>
    <row r="818">
      <c r="A818" s="134"/>
      <c r="D818" s="135"/>
      <c r="F818" s="136"/>
      <c r="H818" s="134"/>
      <c r="J818" s="134"/>
    </row>
    <row r="819">
      <c r="A819" s="134"/>
      <c r="D819" s="135"/>
      <c r="F819" s="136"/>
      <c r="H819" s="134"/>
      <c r="J819" s="134"/>
    </row>
    <row r="820">
      <c r="A820" s="134"/>
      <c r="D820" s="135"/>
      <c r="F820" s="136"/>
      <c r="H820" s="134"/>
      <c r="J820" s="134"/>
    </row>
    <row r="821">
      <c r="A821" s="134"/>
      <c r="D821" s="135"/>
      <c r="F821" s="136"/>
      <c r="H821" s="134"/>
      <c r="J821" s="134"/>
    </row>
    <row r="822">
      <c r="A822" s="134"/>
      <c r="D822" s="135"/>
      <c r="F822" s="136"/>
      <c r="H822" s="134"/>
      <c r="J822" s="134"/>
    </row>
    <row r="823">
      <c r="A823" s="134"/>
      <c r="D823" s="135"/>
      <c r="F823" s="136"/>
      <c r="H823" s="134"/>
      <c r="J823" s="134"/>
    </row>
    <row r="824">
      <c r="A824" s="134"/>
      <c r="D824" s="135"/>
      <c r="F824" s="136"/>
      <c r="H824" s="134"/>
      <c r="J824" s="134"/>
    </row>
    <row r="825">
      <c r="A825" s="134"/>
      <c r="D825" s="135"/>
      <c r="F825" s="136"/>
      <c r="H825" s="134"/>
      <c r="J825" s="134"/>
    </row>
    <row r="826">
      <c r="A826" s="134"/>
      <c r="D826" s="135"/>
      <c r="F826" s="136"/>
      <c r="H826" s="134"/>
      <c r="J826" s="134"/>
    </row>
    <row r="827">
      <c r="A827" s="134"/>
      <c r="D827" s="135"/>
      <c r="F827" s="136"/>
      <c r="H827" s="134"/>
      <c r="J827" s="134"/>
    </row>
    <row r="828">
      <c r="A828" s="134"/>
      <c r="D828" s="135"/>
      <c r="F828" s="136"/>
      <c r="H828" s="134"/>
      <c r="J828" s="134"/>
    </row>
    <row r="829">
      <c r="A829" s="134"/>
      <c r="D829" s="135"/>
      <c r="F829" s="136"/>
      <c r="H829" s="134"/>
      <c r="J829" s="134"/>
    </row>
    <row r="830">
      <c r="A830" s="134"/>
      <c r="D830" s="135"/>
      <c r="F830" s="136"/>
      <c r="H830" s="134"/>
      <c r="J830" s="134"/>
    </row>
    <row r="831">
      <c r="A831" s="134"/>
      <c r="D831" s="135"/>
      <c r="F831" s="136"/>
      <c r="H831" s="134"/>
      <c r="J831" s="134"/>
    </row>
    <row r="832">
      <c r="A832" s="134"/>
      <c r="D832" s="135"/>
      <c r="F832" s="136"/>
      <c r="H832" s="134"/>
      <c r="J832" s="134"/>
    </row>
    <row r="833">
      <c r="A833" s="134"/>
      <c r="D833" s="135"/>
      <c r="F833" s="136"/>
      <c r="H833" s="134"/>
      <c r="J833" s="134"/>
    </row>
    <row r="834">
      <c r="A834" s="134"/>
      <c r="D834" s="135"/>
      <c r="F834" s="136"/>
      <c r="H834" s="134"/>
      <c r="J834" s="134"/>
    </row>
    <row r="835">
      <c r="A835" s="134"/>
      <c r="D835" s="135"/>
      <c r="F835" s="136"/>
      <c r="H835" s="134"/>
      <c r="J835" s="134"/>
    </row>
    <row r="836">
      <c r="A836" s="134"/>
      <c r="D836" s="135"/>
      <c r="F836" s="136"/>
      <c r="H836" s="134"/>
      <c r="J836" s="134"/>
    </row>
    <row r="837">
      <c r="A837" s="134"/>
      <c r="D837" s="135"/>
      <c r="F837" s="136"/>
      <c r="H837" s="134"/>
      <c r="J837" s="134"/>
    </row>
    <row r="838">
      <c r="A838" s="134"/>
      <c r="D838" s="135"/>
      <c r="F838" s="136"/>
      <c r="H838" s="134"/>
      <c r="J838" s="134"/>
    </row>
    <row r="839">
      <c r="A839" s="134"/>
      <c r="D839" s="135"/>
      <c r="F839" s="136"/>
      <c r="H839" s="134"/>
      <c r="J839" s="134"/>
    </row>
    <row r="840">
      <c r="A840" s="134"/>
      <c r="D840" s="135"/>
      <c r="F840" s="136"/>
      <c r="H840" s="134"/>
      <c r="J840" s="134"/>
    </row>
    <row r="841">
      <c r="A841" s="134"/>
      <c r="D841" s="135"/>
      <c r="F841" s="136"/>
      <c r="H841" s="134"/>
      <c r="J841" s="134"/>
    </row>
    <row r="842">
      <c r="A842" s="134"/>
      <c r="D842" s="135"/>
      <c r="F842" s="136"/>
      <c r="H842" s="134"/>
      <c r="J842" s="134"/>
    </row>
    <row r="843">
      <c r="A843" s="134"/>
      <c r="D843" s="135"/>
      <c r="F843" s="136"/>
      <c r="H843" s="134"/>
      <c r="J843" s="134"/>
    </row>
    <row r="844">
      <c r="A844" s="134"/>
      <c r="D844" s="135"/>
      <c r="F844" s="136"/>
      <c r="H844" s="134"/>
      <c r="J844" s="134"/>
    </row>
    <row r="845">
      <c r="A845" s="134"/>
      <c r="D845" s="135"/>
      <c r="F845" s="136"/>
      <c r="H845" s="134"/>
      <c r="J845" s="134"/>
    </row>
    <row r="846">
      <c r="A846" s="134"/>
      <c r="D846" s="135"/>
      <c r="F846" s="136"/>
      <c r="H846" s="134"/>
      <c r="J846" s="134"/>
    </row>
    <row r="847">
      <c r="A847" s="134"/>
      <c r="D847" s="135"/>
      <c r="F847" s="136"/>
      <c r="H847" s="134"/>
      <c r="J847" s="134"/>
    </row>
    <row r="848">
      <c r="A848" s="134"/>
      <c r="D848" s="135"/>
      <c r="F848" s="136"/>
      <c r="H848" s="134"/>
      <c r="J848" s="134"/>
    </row>
    <row r="849">
      <c r="A849" s="134"/>
      <c r="D849" s="135"/>
      <c r="F849" s="136"/>
      <c r="H849" s="134"/>
      <c r="J849" s="134"/>
    </row>
    <row r="850">
      <c r="A850" s="134"/>
      <c r="D850" s="135"/>
      <c r="F850" s="136"/>
      <c r="H850" s="134"/>
      <c r="J850" s="134"/>
    </row>
    <row r="851">
      <c r="A851" s="134"/>
      <c r="D851" s="135"/>
      <c r="F851" s="136"/>
      <c r="H851" s="134"/>
      <c r="J851" s="134"/>
    </row>
    <row r="852">
      <c r="A852" s="134"/>
      <c r="D852" s="135"/>
      <c r="F852" s="136"/>
      <c r="H852" s="134"/>
      <c r="J852" s="134"/>
    </row>
    <row r="853">
      <c r="A853" s="134"/>
      <c r="D853" s="135"/>
      <c r="F853" s="136"/>
      <c r="H853" s="134"/>
      <c r="J853" s="134"/>
    </row>
    <row r="854">
      <c r="A854" s="134"/>
      <c r="D854" s="135"/>
      <c r="F854" s="136"/>
      <c r="H854" s="134"/>
      <c r="J854" s="134"/>
    </row>
    <row r="855">
      <c r="A855" s="134"/>
      <c r="D855" s="135"/>
      <c r="F855" s="136"/>
      <c r="H855" s="134"/>
      <c r="J855" s="134"/>
    </row>
    <row r="856">
      <c r="A856" s="134"/>
      <c r="D856" s="135"/>
      <c r="F856" s="136"/>
      <c r="H856" s="134"/>
      <c r="J856" s="134"/>
    </row>
    <row r="857">
      <c r="A857" s="134"/>
      <c r="D857" s="135"/>
      <c r="F857" s="136"/>
      <c r="H857" s="134"/>
      <c r="J857" s="134"/>
    </row>
    <row r="858">
      <c r="A858" s="134"/>
      <c r="D858" s="135"/>
      <c r="F858" s="136"/>
      <c r="H858" s="134"/>
      <c r="J858" s="134"/>
    </row>
    <row r="859">
      <c r="A859" s="134"/>
      <c r="D859" s="135"/>
      <c r="F859" s="136"/>
      <c r="H859" s="134"/>
      <c r="J859" s="134"/>
    </row>
    <row r="860">
      <c r="A860" s="134"/>
      <c r="D860" s="135"/>
      <c r="F860" s="136"/>
      <c r="H860" s="134"/>
      <c r="J860" s="134"/>
    </row>
    <row r="861">
      <c r="A861" s="134"/>
      <c r="D861" s="135"/>
      <c r="F861" s="136"/>
      <c r="H861" s="134"/>
      <c r="J861" s="134"/>
    </row>
    <row r="862">
      <c r="A862" s="134"/>
      <c r="D862" s="135"/>
      <c r="F862" s="136"/>
      <c r="H862" s="134"/>
      <c r="J862" s="134"/>
    </row>
    <row r="863">
      <c r="A863" s="134"/>
      <c r="D863" s="135"/>
      <c r="F863" s="136"/>
      <c r="H863" s="134"/>
      <c r="J863" s="134"/>
    </row>
    <row r="864">
      <c r="A864" s="134"/>
      <c r="D864" s="135"/>
      <c r="F864" s="136"/>
      <c r="H864" s="134"/>
      <c r="J864" s="134"/>
    </row>
    <row r="865">
      <c r="A865" s="134"/>
      <c r="D865" s="135"/>
      <c r="F865" s="136"/>
      <c r="H865" s="134"/>
      <c r="J865" s="134"/>
    </row>
    <row r="866">
      <c r="A866" s="134"/>
      <c r="D866" s="135"/>
      <c r="F866" s="136"/>
      <c r="H866" s="134"/>
      <c r="J866" s="134"/>
    </row>
    <row r="867">
      <c r="A867" s="134"/>
      <c r="D867" s="135"/>
      <c r="F867" s="136"/>
      <c r="H867" s="134"/>
      <c r="J867" s="134"/>
    </row>
    <row r="868">
      <c r="A868" s="134"/>
      <c r="D868" s="135"/>
      <c r="F868" s="136"/>
      <c r="H868" s="134"/>
      <c r="J868" s="134"/>
    </row>
    <row r="869">
      <c r="A869" s="134"/>
      <c r="D869" s="135"/>
      <c r="F869" s="136"/>
      <c r="H869" s="134"/>
      <c r="J869" s="134"/>
    </row>
    <row r="870">
      <c r="A870" s="134"/>
      <c r="D870" s="135"/>
      <c r="F870" s="136"/>
      <c r="H870" s="134"/>
      <c r="J870" s="134"/>
    </row>
    <row r="871">
      <c r="A871" s="134"/>
      <c r="D871" s="135"/>
      <c r="F871" s="136"/>
      <c r="H871" s="134"/>
      <c r="J871" s="134"/>
    </row>
    <row r="872">
      <c r="A872" s="134"/>
      <c r="D872" s="135"/>
      <c r="F872" s="136"/>
      <c r="H872" s="134"/>
      <c r="J872" s="134"/>
    </row>
    <row r="873">
      <c r="A873" s="134"/>
      <c r="D873" s="135"/>
      <c r="F873" s="136"/>
      <c r="H873" s="134"/>
      <c r="J873" s="134"/>
    </row>
    <row r="874">
      <c r="A874" s="134"/>
      <c r="D874" s="135"/>
      <c r="F874" s="136"/>
      <c r="H874" s="134"/>
      <c r="J874" s="134"/>
    </row>
    <row r="875">
      <c r="A875" s="134"/>
      <c r="D875" s="135"/>
      <c r="F875" s="136"/>
      <c r="H875" s="134"/>
      <c r="J875" s="134"/>
    </row>
    <row r="876">
      <c r="A876" s="134"/>
      <c r="D876" s="135"/>
      <c r="F876" s="136"/>
      <c r="H876" s="134"/>
      <c r="J876" s="134"/>
    </row>
    <row r="877">
      <c r="A877" s="134"/>
      <c r="D877" s="135"/>
      <c r="F877" s="136"/>
      <c r="H877" s="134"/>
      <c r="J877" s="134"/>
    </row>
    <row r="878">
      <c r="A878" s="134"/>
      <c r="D878" s="135"/>
      <c r="F878" s="136"/>
      <c r="H878" s="134"/>
      <c r="J878" s="134"/>
    </row>
    <row r="879">
      <c r="A879" s="134"/>
      <c r="D879" s="135"/>
      <c r="F879" s="136"/>
      <c r="H879" s="134"/>
      <c r="J879" s="134"/>
    </row>
    <row r="880">
      <c r="A880" s="134"/>
      <c r="D880" s="135"/>
      <c r="F880" s="136"/>
      <c r="H880" s="134"/>
      <c r="J880" s="134"/>
    </row>
    <row r="881">
      <c r="A881" s="134"/>
      <c r="D881" s="135"/>
      <c r="F881" s="136"/>
      <c r="H881" s="134"/>
      <c r="J881" s="134"/>
    </row>
    <row r="882">
      <c r="A882" s="134"/>
      <c r="D882" s="135"/>
      <c r="F882" s="136"/>
      <c r="H882" s="134"/>
      <c r="J882" s="134"/>
    </row>
    <row r="883">
      <c r="A883" s="134"/>
      <c r="D883" s="135"/>
      <c r="F883" s="136"/>
      <c r="H883" s="134"/>
      <c r="J883" s="134"/>
    </row>
    <row r="884">
      <c r="A884" s="134"/>
      <c r="D884" s="135"/>
      <c r="F884" s="136"/>
      <c r="H884" s="134"/>
      <c r="J884" s="134"/>
    </row>
    <row r="885">
      <c r="A885" s="134"/>
      <c r="D885" s="135"/>
      <c r="F885" s="136"/>
      <c r="H885" s="134"/>
      <c r="J885" s="134"/>
    </row>
    <row r="886">
      <c r="A886" s="134"/>
      <c r="D886" s="135"/>
      <c r="F886" s="136"/>
      <c r="H886" s="134"/>
      <c r="J886" s="134"/>
    </row>
    <row r="887">
      <c r="A887" s="134"/>
      <c r="D887" s="135"/>
      <c r="F887" s="136"/>
      <c r="H887" s="134"/>
      <c r="J887" s="134"/>
    </row>
    <row r="888">
      <c r="A888" s="134"/>
      <c r="D888" s="135"/>
      <c r="F888" s="136"/>
      <c r="H888" s="134"/>
      <c r="J888" s="134"/>
    </row>
    <row r="889">
      <c r="A889" s="134"/>
      <c r="D889" s="135"/>
      <c r="F889" s="136"/>
      <c r="H889" s="134"/>
      <c r="J889" s="134"/>
    </row>
    <row r="890">
      <c r="A890" s="134"/>
      <c r="D890" s="135"/>
      <c r="F890" s="136"/>
      <c r="H890" s="134"/>
      <c r="J890" s="134"/>
    </row>
    <row r="891">
      <c r="A891" s="134"/>
      <c r="D891" s="135"/>
      <c r="F891" s="136"/>
      <c r="H891" s="134"/>
      <c r="J891" s="134"/>
    </row>
    <row r="892">
      <c r="A892" s="134"/>
      <c r="D892" s="135"/>
      <c r="F892" s="136"/>
      <c r="H892" s="134"/>
      <c r="J892" s="134"/>
    </row>
    <row r="893">
      <c r="A893" s="134"/>
      <c r="D893" s="135"/>
      <c r="F893" s="136"/>
      <c r="H893" s="134"/>
      <c r="J893" s="134"/>
    </row>
    <row r="894">
      <c r="A894" s="134"/>
      <c r="D894" s="135"/>
      <c r="F894" s="136"/>
      <c r="H894" s="134"/>
      <c r="J894" s="134"/>
    </row>
    <row r="895">
      <c r="A895" s="134"/>
      <c r="D895" s="135"/>
      <c r="F895" s="136"/>
      <c r="H895" s="134"/>
      <c r="J895" s="134"/>
    </row>
    <row r="896">
      <c r="A896" s="134"/>
      <c r="D896" s="135"/>
      <c r="F896" s="136"/>
      <c r="H896" s="134"/>
      <c r="J896" s="134"/>
    </row>
    <row r="897">
      <c r="A897" s="134"/>
      <c r="D897" s="135"/>
      <c r="F897" s="136"/>
      <c r="H897" s="134"/>
      <c r="J897" s="134"/>
    </row>
    <row r="898">
      <c r="A898" s="134"/>
      <c r="D898" s="135"/>
      <c r="F898" s="136"/>
      <c r="H898" s="134"/>
      <c r="J898" s="134"/>
    </row>
    <row r="899">
      <c r="A899" s="134"/>
      <c r="D899" s="135"/>
      <c r="F899" s="136"/>
      <c r="H899" s="134"/>
      <c r="J899" s="134"/>
    </row>
    <row r="900">
      <c r="A900" s="134"/>
      <c r="D900" s="135"/>
      <c r="F900" s="136"/>
      <c r="H900" s="134"/>
      <c r="J900" s="134"/>
    </row>
    <row r="901">
      <c r="A901" s="134"/>
      <c r="D901" s="135"/>
      <c r="F901" s="136"/>
      <c r="H901" s="134"/>
      <c r="J901" s="134"/>
    </row>
    <row r="902">
      <c r="A902" s="134"/>
      <c r="D902" s="135"/>
      <c r="F902" s="136"/>
      <c r="H902" s="134"/>
      <c r="J902" s="134"/>
    </row>
    <row r="903">
      <c r="A903" s="134"/>
      <c r="D903" s="135"/>
      <c r="F903" s="136"/>
      <c r="H903" s="134"/>
      <c r="J903" s="134"/>
    </row>
    <row r="904">
      <c r="A904" s="134"/>
      <c r="D904" s="135"/>
      <c r="F904" s="136"/>
      <c r="H904" s="134"/>
      <c r="J904" s="134"/>
    </row>
    <row r="905">
      <c r="A905" s="134"/>
      <c r="D905" s="135"/>
      <c r="F905" s="136"/>
      <c r="H905" s="134"/>
      <c r="J905" s="134"/>
    </row>
    <row r="906">
      <c r="A906" s="134"/>
      <c r="D906" s="135"/>
      <c r="F906" s="136"/>
      <c r="H906" s="134"/>
      <c r="J906" s="134"/>
    </row>
    <row r="907">
      <c r="A907" s="134"/>
      <c r="D907" s="135"/>
      <c r="F907" s="136"/>
      <c r="H907" s="134"/>
      <c r="J907" s="134"/>
    </row>
    <row r="908">
      <c r="A908" s="134"/>
      <c r="D908" s="135"/>
      <c r="F908" s="136"/>
      <c r="H908" s="134"/>
      <c r="J908" s="134"/>
    </row>
    <row r="909">
      <c r="A909" s="134"/>
      <c r="D909" s="135"/>
      <c r="F909" s="136"/>
      <c r="H909" s="134"/>
      <c r="J909" s="134"/>
    </row>
    <row r="910">
      <c r="A910" s="134"/>
      <c r="D910" s="135"/>
      <c r="F910" s="136"/>
      <c r="H910" s="134"/>
      <c r="J910" s="134"/>
    </row>
    <row r="911">
      <c r="A911" s="134"/>
      <c r="D911" s="135"/>
      <c r="F911" s="136"/>
      <c r="H911" s="134"/>
      <c r="J911" s="134"/>
    </row>
    <row r="912">
      <c r="A912" s="134"/>
      <c r="D912" s="135"/>
      <c r="F912" s="136"/>
      <c r="H912" s="134"/>
      <c r="J912" s="134"/>
    </row>
    <row r="913">
      <c r="A913" s="134"/>
      <c r="D913" s="135"/>
      <c r="F913" s="136"/>
      <c r="H913" s="134"/>
      <c r="J913" s="134"/>
    </row>
    <row r="914">
      <c r="A914" s="134"/>
      <c r="D914" s="135"/>
      <c r="F914" s="136"/>
      <c r="H914" s="134"/>
      <c r="J914" s="134"/>
    </row>
    <row r="915">
      <c r="A915" s="134"/>
      <c r="D915" s="135"/>
      <c r="F915" s="136"/>
      <c r="H915" s="134"/>
      <c r="J915" s="134"/>
    </row>
    <row r="916">
      <c r="A916" s="134"/>
      <c r="D916" s="135"/>
      <c r="F916" s="136"/>
      <c r="H916" s="134"/>
      <c r="J916" s="134"/>
    </row>
    <row r="917">
      <c r="A917" s="134"/>
      <c r="D917" s="135"/>
      <c r="F917" s="136"/>
      <c r="H917" s="134"/>
      <c r="J917" s="134"/>
    </row>
    <row r="918">
      <c r="A918" s="134"/>
      <c r="D918" s="135"/>
      <c r="F918" s="136"/>
      <c r="H918" s="134"/>
      <c r="J918" s="134"/>
    </row>
    <row r="919">
      <c r="A919" s="134"/>
      <c r="D919" s="135"/>
      <c r="F919" s="136"/>
      <c r="H919" s="134"/>
      <c r="J919" s="134"/>
    </row>
    <row r="920">
      <c r="A920" s="134"/>
      <c r="D920" s="135"/>
      <c r="F920" s="136"/>
      <c r="H920" s="134"/>
      <c r="J920" s="134"/>
    </row>
    <row r="921">
      <c r="A921" s="134"/>
      <c r="D921" s="135"/>
      <c r="F921" s="136"/>
      <c r="H921" s="134"/>
      <c r="J921" s="134"/>
    </row>
    <row r="922">
      <c r="A922" s="134"/>
      <c r="D922" s="135"/>
      <c r="F922" s="136"/>
      <c r="H922" s="134"/>
      <c r="J922" s="134"/>
    </row>
    <row r="923">
      <c r="A923" s="134"/>
      <c r="D923" s="135"/>
      <c r="F923" s="136"/>
      <c r="H923" s="134"/>
      <c r="J923" s="134"/>
    </row>
    <row r="924">
      <c r="A924" s="134"/>
      <c r="D924" s="135"/>
      <c r="F924" s="136"/>
      <c r="H924" s="134"/>
      <c r="J924" s="134"/>
    </row>
    <row r="925">
      <c r="A925" s="134"/>
      <c r="D925" s="135"/>
      <c r="F925" s="136"/>
      <c r="H925" s="134"/>
      <c r="J925" s="134"/>
    </row>
    <row r="926">
      <c r="A926" s="134"/>
      <c r="D926" s="135"/>
      <c r="F926" s="136"/>
      <c r="H926" s="134"/>
      <c r="J926" s="134"/>
    </row>
    <row r="927">
      <c r="A927" s="134"/>
      <c r="D927" s="135"/>
      <c r="F927" s="136"/>
      <c r="H927" s="134"/>
      <c r="J927" s="134"/>
    </row>
    <row r="928">
      <c r="A928" s="134"/>
      <c r="D928" s="135"/>
      <c r="F928" s="136"/>
      <c r="H928" s="134"/>
      <c r="J928" s="134"/>
    </row>
    <row r="929">
      <c r="A929" s="134"/>
      <c r="D929" s="135"/>
      <c r="F929" s="136"/>
      <c r="H929" s="134"/>
      <c r="J929" s="134"/>
    </row>
    <row r="930">
      <c r="A930" s="134"/>
      <c r="D930" s="135"/>
      <c r="F930" s="136"/>
      <c r="H930" s="134"/>
      <c r="J930" s="134"/>
    </row>
    <row r="931">
      <c r="A931" s="134"/>
      <c r="D931" s="135"/>
      <c r="F931" s="136"/>
      <c r="H931" s="134"/>
      <c r="J931" s="134"/>
    </row>
    <row r="932">
      <c r="A932" s="134"/>
      <c r="D932" s="135"/>
      <c r="F932" s="136"/>
      <c r="H932" s="134"/>
      <c r="J932" s="134"/>
    </row>
    <row r="933">
      <c r="A933" s="134"/>
      <c r="D933" s="135"/>
      <c r="F933" s="136"/>
      <c r="H933" s="134"/>
      <c r="J933" s="134"/>
    </row>
    <row r="934">
      <c r="A934" s="134"/>
      <c r="D934" s="135"/>
      <c r="F934" s="136"/>
      <c r="H934" s="134"/>
      <c r="J934" s="134"/>
    </row>
    <row r="935">
      <c r="A935" s="134"/>
      <c r="D935" s="135"/>
      <c r="F935" s="136"/>
      <c r="H935" s="134"/>
      <c r="J935" s="134"/>
    </row>
    <row r="936">
      <c r="A936" s="134"/>
      <c r="D936" s="135"/>
      <c r="F936" s="136"/>
      <c r="H936" s="134"/>
      <c r="J936" s="134"/>
    </row>
    <row r="937">
      <c r="A937" s="134"/>
      <c r="D937" s="135"/>
      <c r="F937" s="136"/>
      <c r="H937" s="134"/>
      <c r="J937" s="134"/>
    </row>
    <row r="938">
      <c r="A938" s="134"/>
      <c r="D938" s="135"/>
      <c r="F938" s="136"/>
      <c r="H938" s="134"/>
      <c r="J938" s="134"/>
    </row>
    <row r="939">
      <c r="A939" s="134"/>
      <c r="D939" s="135"/>
      <c r="F939" s="136"/>
      <c r="H939" s="134"/>
      <c r="J939" s="134"/>
    </row>
    <row r="940">
      <c r="A940" s="134"/>
      <c r="D940" s="135"/>
      <c r="F940" s="136"/>
      <c r="H940" s="134"/>
      <c r="J940" s="134"/>
    </row>
    <row r="941">
      <c r="A941" s="134"/>
      <c r="D941" s="135"/>
      <c r="F941" s="136"/>
      <c r="H941" s="134"/>
      <c r="J941" s="134"/>
    </row>
    <row r="942">
      <c r="A942" s="134"/>
      <c r="D942" s="135"/>
      <c r="F942" s="136"/>
      <c r="H942" s="134"/>
      <c r="J942" s="134"/>
    </row>
    <row r="943">
      <c r="A943" s="134"/>
      <c r="D943" s="135"/>
      <c r="F943" s="136"/>
      <c r="H943" s="134"/>
      <c r="J943" s="134"/>
    </row>
    <row r="944">
      <c r="A944" s="134"/>
      <c r="D944" s="135"/>
      <c r="F944" s="136"/>
      <c r="H944" s="134"/>
      <c r="J944" s="134"/>
    </row>
    <row r="945">
      <c r="A945" s="134"/>
      <c r="D945" s="135"/>
      <c r="F945" s="136"/>
      <c r="H945" s="134"/>
      <c r="J945" s="134"/>
    </row>
    <row r="946">
      <c r="A946" s="134"/>
      <c r="D946" s="135"/>
      <c r="F946" s="136"/>
      <c r="H946" s="134"/>
      <c r="J946" s="134"/>
    </row>
    <row r="947">
      <c r="A947" s="134"/>
      <c r="D947" s="135"/>
      <c r="F947" s="136"/>
      <c r="H947" s="134"/>
      <c r="J947" s="134"/>
    </row>
    <row r="948">
      <c r="A948" s="134"/>
      <c r="D948" s="135"/>
      <c r="F948" s="136"/>
      <c r="H948" s="134"/>
      <c r="J948" s="134"/>
    </row>
    <row r="949">
      <c r="A949" s="134"/>
      <c r="D949" s="135"/>
      <c r="F949" s="136"/>
      <c r="H949" s="134"/>
      <c r="J949" s="134"/>
    </row>
    <row r="950">
      <c r="A950" s="134"/>
      <c r="D950" s="135"/>
      <c r="F950" s="136"/>
      <c r="H950" s="134"/>
      <c r="J950" s="134"/>
    </row>
    <row r="951">
      <c r="A951" s="134"/>
      <c r="D951" s="135"/>
      <c r="F951" s="136"/>
      <c r="H951" s="134"/>
      <c r="J951" s="134"/>
    </row>
    <row r="952">
      <c r="A952" s="134"/>
      <c r="D952" s="135"/>
      <c r="F952" s="136"/>
      <c r="H952" s="134"/>
      <c r="J952" s="134"/>
    </row>
    <row r="953">
      <c r="A953" s="134"/>
      <c r="D953" s="135"/>
      <c r="F953" s="136"/>
      <c r="H953" s="134"/>
      <c r="J953" s="134"/>
    </row>
    <row r="954">
      <c r="A954" s="134"/>
      <c r="D954" s="135"/>
      <c r="F954" s="136"/>
      <c r="H954" s="134"/>
      <c r="J954" s="134"/>
    </row>
    <row r="955">
      <c r="A955" s="134"/>
      <c r="D955" s="135"/>
      <c r="F955" s="136"/>
      <c r="H955" s="134"/>
      <c r="J955" s="134"/>
    </row>
    <row r="956">
      <c r="A956" s="134"/>
      <c r="D956" s="135"/>
      <c r="F956" s="136"/>
      <c r="H956" s="134"/>
      <c r="J956" s="134"/>
    </row>
    <row r="957">
      <c r="A957" s="134"/>
      <c r="D957" s="135"/>
      <c r="F957" s="136"/>
      <c r="H957" s="134"/>
      <c r="J957" s="134"/>
    </row>
    <row r="958">
      <c r="A958" s="134"/>
      <c r="D958" s="135"/>
      <c r="F958" s="136"/>
      <c r="H958" s="134"/>
      <c r="J958" s="134"/>
    </row>
    <row r="959">
      <c r="A959" s="134"/>
      <c r="D959" s="135"/>
      <c r="F959" s="136"/>
      <c r="H959" s="134"/>
      <c r="J959" s="134"/>
    </row>
    <row r="960">
      <c r="A960" s="134"/>
      <c r="D960" s="135"/>
      <c r="F960" s="136"/>
      <c r="H960" s="134"/>
      <c r="J960" s="134"/>
    </row>
    <row r="961">
      <c r="A961" s="134"/>
      <c r="D961" s="135"/>
      <c r="F961" s="136"/>
      <c r="H961" s="134"/>
      <c r="J961" s="134"/>
    </row>
    <row r="962">
      <c r="A962" s="134"/>
      <c r="D962" s="135"/>
      <c r="F962" s="136"/>
      <c r="H962" s="134"/>
      <c r="J962" s="134"/>
    </row>
    <row r="963">
      <c r="A963" s="134"/>
      <c r="D963" s="135"/>
      <c r="F963" s="136"/>
      <c r="H963" s="134"/>
      <c r="J963" s="134"/>
    </row>
    <row r="964">
      <c r="A964" s="134"/>
      <c r="D964" s="135"/>
      <c r="F964" s="136"/>
      <c r="H964" s="134"/>
      <c r="J964" s="134"/>
    </row>
    <row r="965">
      <c r="A965" s="134"/>
      <c r="D965" s="135"/>
      <c r="F965" s="136"/>
      <c r="H965" s="134"/>
      <c r="J965" s="134"/>
    </row>
    <row r="966">
      <c r="A966" s="134"/>
      <c r="D966" s="135"/>
      <c r="F966" s="136"/>
      <c r="H966" s="134"/>
      <c r="J966" s="134"/>
    </row>
    <row r="967">
      <c r="A967" s="134"/>
      <c r="D967" s="135"/>
      <c r="F967" s="136"/>
      <c r="H967" s="134"/>
      <c r="J967" s="134"/>
    </row>
    <row r="968">
      <c r="A968" s="134"/>
      <c r="D968" s="135"/>
      <c r="F968" s="136"/>
      <c r="H968" s="134"/>
      <c r="J968" s="134"/>
    </row>
    <row r="969">
      <c r="A969" s="134"/>
      <c r="D969" s="135"/>
      <c r="F969" s="136"/>
      <c r="H969" s="134"/>
      <c r="J969" s="134"/>
    </row>
    <row r="970">
      <c r="A970" s="134"/>
      <c r="D970" s="135"/>
      <c r="F970" s="136"/>
      <c r="H970" s="134"/>
      <c r="J970" s="134"/>
    </row>
    <row r="971">
      <c r="A971" s="134"/>
      <c r="D971" s="135"/>
      <c r="F971" s="136"/>
      <c r="H971" s="134"/>
      <c r="J971" s="134"/>
    </row>
    <row r="972">
      <c r="A972" s="134"/>
      <c r="D972" s="135"/>
      <c r="F972" s="136"/>
      <c r="H972" s="134"/>
      <c r="J972" s="134"/>
    </row>
    <row r="973">
      <c r="A973" s="134"/>
      <c r="D973" s="135"/>
      <c r="F973" s="136"/>
      <c r="H973" s="134"/>
      <c r="J973" s="134"/>
    </row>
    <row r="974">
      <c r="A974" s="134"/>
      <c r="D974" s="135"/>
      <c r="F974" s="136"/>
      <c r="H974" s="134"/>
      <c r="J974" s="134"/>
    </row>
    <row r="975">
      <c r="A975" s="134"/>
      <c r="D975" s="135"/>
      <c r="F975" s="136"/>
      <c r="H975" s="134"/>
      <c r="J975" s="134"/>
    </row>
    <row r="976">
      <c r="A976" s="134"/>
      <c r="D976" s="135"/>
      <c r="F976" s="136"/>
      <c r="H976" s="134"/>
      <c r="J976" s="134"/>
    </row>
    <row r="977">
      <c r="A977" s="134"/>
      <c r="D977" s="135"/>
      <c r="F977" s="136"/>
      <c r="H977" s="134"/>
      <c r="J977" s="134"/>
    </row>
    <row r="978">
      <c r="A978" s="134"/>
      <c r="D978" s="135"/>
      <c r="F978" s="136"/>
      <c r="H978" s="134"/>
      <c r="J978" s="134"/>
    </row>
    <row r="979">
      <c r="A979" s="134"/>
      <c r="D979" s="135"/>
      <c r="F979" s="136"/>
      <c r="H979" s="134"/>
      <c r="J979" s="134"/>
    </row>
    <row r="980">
      <c r="A980" s="134"/>
      <c r="D980" s="135"/>
      <c r="F980" s="136"/>
      <c r="H980" s="134"/>
      <c r="J980" s="134"/>
    </row>
    <row r="981">
      <c r="A981" s="134"/>
      <c r="D981" s="135"/>
      <c r="F981" s="136"/>
      <c r="H981" s="134"/>
      <c r="J981" s="134"/>
    </row>
    <row r="982">
      <c r="A982" s="134"/>
      <c r="D982" s="135"/>
      <c r="F982" s="136"/>
      <c r="H982" s="134"/>
      <c r="J982" s="134"/>
    </row>
    <row r="983">
      <c r="A983" s="134"/>
      <c r="D983" s="135"/>
      <c r="F983" s="136"/>
      <c r="H983" s="134"/>
      <c r="J983" s="134"/>
    </row>
    <row r="984">
      <c r="A984" s="134"/>
      <c r="D984" s="135"/>
      <c r="F984" s="136"/>
      <c r="H984" s="134"/>
      <c r="J984" s="134"/>
    </row>
    <row r="985">
      <c r="A985" s="134"/>
      <c r="D985" s="135"/>
      <c r="F985" s="136"/>
      <c r="H985" s="134"/>
      <c r="J985" s="134"/>
    </row>
    <row r="986">
      <c r="A986" s="134"/>
      <c r="D986" s="135"/>
      <c r="F986" s="136"/>
      <c r="H986" s="134"/>
      <c r="J986" s="134"/>
    </row>
    <row r="987">
      <c r="A987" s="134"/>
      <c r="D987" s="135"/>
      <c r="F987" s="136"/>
      <c r="H987" s="134"/>
      <c r="J987" s="134"/>
    </row>
    <row r="988">
      <c r="A988" s="134"/>
      <c r="D988" s="135"/>
      <c r="F988" s="136"/>
      <c r="H988" s="134"/>
      <c r="J988" s="134"/>
    </row>
    <row r="989">
      <c r="A989" s="134"/>
      <c r="D989" s="135"/>
      <c r="F989" s="136"/>
      <c r="H989" s="134"/>
      <c r="J989" s="134"/>
    </row>
    <row r="990">
      <c r="A990" s="134"/>
      <c r="D990" s="135"/>
      <c r="F990" s="136"/>
      <c r="H990" s="134"/>
      <c r="J990" s="134"/>
    </row>
    <row r="991">
      <c r="A991" s="134"/>
      <c r="D991" s="135"/>
      <c r="F991" s="136"/>
      <c r="H991" s="134"/>
      <c r="J991" s="134"/>
    </row>
    <row r="992">
      <c r="A992" s="134"/>
      <c r="D992" s="135"/>
      <c r="F992" s="136"/>
      <c r="H992" s="134"/>
      <c r="J992" s="134"/>
    </row>
    <row r="993">
      <c r="A993" s="134"/>
      <c r="D993" s="135"/>
      <c r="F993" s="136"/>
      <c r="H993" s="134"/>
      <c r="J993" s="134"/>
    </row>
    <row r="994">
      <c r="A994" s="134"/>
      <c r="D994" s="135"/>
      <c r="F994" s="136"/>
      <c r="H994" s="134"/>
      <c r="J994" s="134"/>
    </row>
    <row r="995">
      <c r="A995" s="134"/>
      <c r="D995" s="135"/>
      <c r="F995" s="136"/>
      <c r="H995" s="134"/>
      <c r="J995" s="134"/>
    </row>
    <row r="996">
      <c r="A996" s="134"/>
      <c r="D996" s="135"/>
      <c r="F996" s="136"/>
      <c r="H996" s="134"/>
      <c r="J996" s="134"/>
    </row>
    <row r="997">
      <c r="A997" s="134"/>
      <c r="D997" s="135"/>
      <c r="F997" s="136"/>
      <c r="H997" s="134"/>
      <c r="J997" s="134"/>
    </row>
    <row r="998">
      <c r="A998" s="134"/>
      <c r="D998" s="135"/>
      <c r="F998" s="136"/>
      <c r="H998" s="134"/>
      <c r="J998" s="134"/>
    </row>
    <row r="999">
      <c r="A999" s="134"/>
      <c r="D999" s="135"/>
      <c r="F999" s="136"/>
      <c r="H999" s="134"/>
      <c r="J999" s="134"/>
    </row>
    <row r="1000">
      <c r="A1000" s="134"/>
      <c r="D1000" s="135"/>
      <c r="F1000" s="136"/>
      <c r="H1000" s="134"/>
      <c r="J1000" s="134"/>
    </row>
    <row r="1001">
      <c r="A1001" s="134"/>
      <c r="D1001" s="135"/>
      <c r="F1001" s="136"/>
      <c r="H1001" s="134"/>
      <c r="J1001" s="134"/>
    </row>
    <row r="1002">
      <c r="A1002" s="134"/>
      <c r="D1002" s="135"/>
      <c r="F1002" s="136"/>
      <c r="H1002" s="134"/>
      <c r="J1002" s="13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D11"/>
    <hyperlink r:id="rId19" ref="D12"/>
    <hyperlink r:id="rId20" ref="F12"/>
    <hyperlink r:id="rId21" ref="D13"/>
    <hyperlink r:id="rId22" ref="F13"/>
    <hyperlink r:id="rId23" ref="D14"/>
    <hyperlink r:id="rId24" ref="D15"/>
    <hyperlink r:id="rId25" ref="A16"/>
    <hyperlink r:id="rId26" ref="D16"/>
    <hyperlink r:id="rId27" ref="F16"/>
    <hyperlink r:id="rId28" ref="D17"/>
    <hyperlink r:id="rId29" ref="D18"/>
    <hyperlink r:id="rId30" ref="D19"/>
    <hyperlink r:id="rId31" ref="D20"/>
    <hyperlink r:id="rId32" ref="F21"/>
  </hyperlinks>
  <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71"/>
    <col customWidth="1" min="2" max="2" width="11.29"/>
    <col customWidth="1" min="3" max="3" width="12.29"/>
    <col customWidth="1" min="4" max="4" width="105.14"/>
    <col customWidth="1" min="5" max="5" width="13.43"/>
    <col customWidth="1" min="6" max="6" width="47.14"/>
    <col customWidth="1" min="7" max="7" width="16.0"/>
    <col customWidth="1" min="8" max="8" width="49.14"/>
    <col customWidth="1" min="9" max="9" width="17.86"/>
    <col customWidth="1" min="10" max="10" width="21.43"/>
    <col customWidth="1" min="11" max="11" width="19.29"/>
    <col customWidth="1" min="12" max="12" width="14.57"/>
    <col customWidth="1" min="13" max="13" width="17.14"/>
    <col customWidth="1" min="14" max="14" width="34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71.43"/>
    <col customWidth="1" min="20" max="20" width="17.43"/>
    <col customWidth="1" min="21" max="21" width="20.71"/>
    <col customWidth="1" min="22" max="22" width="15.29"/>
    <col customWidth="1" min="23" max="23" width="20.0"/>
    <col customWidth="1" min="24" max="24" width="13.0"/>
    <col customWidth="1" min="25" max="25" width="30.71"/>
  </cols>
  <sheetData>
    <row r="1">
      <c r="A1" s="137" t="s">
        <v>0</v>
      </c>
      <c r="B1" s="137" t="s">
        <v>1</v>
      </c>
      <c r="C1" s="137" t="s">
        <v>2</v>
      </c>
      <c r="D1" s="138" t="s">
        <v>3</v>
      </c>
      <c r="E1" s="137" t="s">
        <v>4</v>
      </c>
      <c r="F1" s="137" t="s">
        <v>25</v>
      </c>
      <c r="G1" s="137" t="s">
        <v>6</v>
      </c>
      <c r="H1" s="137" t="s">
        <v>7</v>
      </c>
      <c r="I1" s="137" t="s">
        <v>8</v>
      </c>
      <c r="J1" s="137" t="s">
        <v>9</v>
      </c>
      <c r="K1" s="139" t="s">
        <v>10</v>
      </c>
      <c r="L1" s="137" t="s">
        <v>11</v>
      </c>
      <c r="M1" s="139" t="s">
        <v>12</v>
      </c>
      <c r="N1" s="139" t="s">
        <v>13</v>
      </c>
      <c r="O1" s="139" t="s">
        <v>14</v>
      </c>
      <c r="P1" s="139" t="s">
        <v>15</v>
      </c>
      <c r="Q1" s="139" t="s">
        <v>16</v>
      </c>
      <c r="R1" s="139" t="s">
        <v>17</v>
      </c>
      <c r="S1" s="139" t="s">
        <v>18</v>
      </c>
      <c r="T1" s="137" t="s">
        <v>19</v>
      </c>
      <c r="U1" s="140" t="s">
        <v>20</v>
      </c>
      <c r="V1" s="139" t="s">
        <v>21</v>
      </c>
      <c r="W1" s="139" t="s">
        <v>22</v>
      </c>
      <c r="X1" s="139" t="s">
        <v>23</v>
      </c>
      <c r="Y1" s="139" t="s">
        <v>24</v>
      </c>
      <c r="Z1" s="93"/>
      <c r="AA1" s="40"/>
    </row>
    <row r="2">
      <c r="A2" s="141" t="s">
        <v>1268</v>
      </c>
      <c r="B2" s="141" t="s">
        <v>1269</v>
      </c>
      <c r="C2" s="141" t="s">
        <v>3417</v>
      </c>
      <c r="D2" s="142" t="s">
        <v>1270</v>
      </c>
      <c r="E2" s="141" t="s">
        <v>1271</v>
      </c>
      <c r="F2" s="141" t="s">
        <v>1272</v>
      </c>
      <c r="G2" s="141"/>
      <c r="H2" s="141" t="s">
        <v>1273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5"/>
      <c r="AA2" s="40"/>
    </row>
    <row r="3">
      <c r="A3" s="141" t="s">
        <v>1274</v>
      </c>
      <c r="B3" s="141" t="s">
        <v>1269</v>
      </c>
      <c r="C3" s="141" t="s">
        <v>3417</v>
      </c>
      <c r="D3" s="142" t="s">
        <v>1275</v>
      </c>
      <c r="E3" s="141"/>
      <c r="F3" s="141"/>
      <c r="G3" s="141"/>
      <c r="H3" s="141" t="s">
        <v>1276</v>
      </c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5"/>
      <c r="AA3" s="40"/>
    </row>
    <row r="4">
      <c r="A4" s="141" t="s">
        <v>1277</v>
      </c>
      <c r="B4" s="141" t="s">
        <v>1269</v>
      </c>
      <c r="C4" s="141" t="s">
        <v>3458</v>
      </c>
      <c r="D4" s="142" t="s">
        <v>1278</v>
      </c>
      <c r="E4" s="141">
        <v>5.6242069E7</v>
      </c>
      <c r="F4" s="141" t="s">
        <v>1279</v>
      </c>
      <c r="G4" s="141" t="s">
        <v>1280</v>
      </c>
      <c r="H4" s="141" t="s">
        <v>1281</v>
      </c>
      <c r="I4" s="141">
        <v>40.0</v>
      </c>
      <c r="J4" s="141" t="s">
        <v>412</v>
      </c>
      <c r="K4" s="141" t="s">
        <v>1282</v>
      </c>
      <c r="L4" s="141"/>
      <c r="M4" s="141"/>
      <c r="N4" s="141" t="s">
        <v>412</v>
      </c>
      <c r="O4" s="141"/>
      <c r="P4" s="141" t="s">
        <v>412</v>
      </c>
      <c r="Q4" s="141"/>
      <c r="R4" s="141"/>
      <c r="S4" s="141"/>
      <c r="T4" s="141"/>
      <c r="U4" s="141"/>
      <c r="V4" s="141" t="s">
        <v>461</v>
      </c>
      <c r="W4" s="141" t="s">
        <v>412</v>
      </c>
      <c r="X4" s="141" t="s">
        <v>412</v>
      </c>
      <c r="Y4" s="141"/>
      <c r="Z4" s="5"/>
      <c r="AA4" s="40"/>
    </row>
    <row r="5">
      <c r="A5" s="141" t="s">
        <v>1283</v>
      </c>
      <c r="B5" s="141" t="s">
        <v>1269</v>
      </c>
      <c r="C5" s="141" t="s">
        <v>3417</v>
      </c>
      <c r="D5" s="142" t="s">
        <v>1284</v>
      </c>
      <c r="E5" s="141">
        <v>5.3307091E7</v>
      </c>
      <c r="F5" s="141"/>
      <c r="G5" s="141" t="s">
        <v>1285</v>
      </c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5"/>
      <c r="AA5" s="40"/>
    </row>
    <row r="6">
      <c r="A6" s="141" t="s">
        <v>1286</v>
      </c>
      <c r="B6" s="141" t="s">
        <v>1269</v>
      </c>
      <c r="C6" s="141" t="s">
        <v>3417</v>
      </c>
      <c r="D6" s="142" t="s">
        <v>1287</v>
      </c>
      <c r="E6" s="141" t="s">
        <v>1288</v>
      </c>
      <c r="F6" s="141" t="s">
        <v>1289</v>
      </c>
      <c r="G6" s="141" t="s">
        <v>1290</v>
      </c>
      <c r="H6" s="141" t="s">
        <v>1291</v>
      </c>
      <c r="I6" s="141">
        <v>40.0</v>
      </c>
      <c r="J6" s="141" t="s">
        <v>412</v>
      </c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5"/>
      <c r="AA6" s="40"/>
    </row>
    <row r="7">
      <c r="A7" s="141" t="s">
        <v>1292</v>
      </c>
      <c r="B7" s="141" t="s">
        <v>1269</v>
      </c>
      <c r="C7" s="141" t="s">
        <v>3458</v>
      </c>
      <c r="D7" s="142" t="s">
        <v>1293</v>
      </c>
      <c r="E7" s="141" t="s">
        <v>1294</v>
      </c>
      <c r="F7" s="141" t="s">
        <v>1295</v>
      </c>
      <c r="G7" s="141" t="s">
        <v>1296</v>
      </c>
      <c r="H7" s="141" t="s">
        <v>1297</v>
      </c>
      <c r="I7" s="141">
        <v>100.0</v>
      </c>
      <c r="J7" s="141" t="s">
        <v>412</v>
      </c>
      <c r="K7" s="141"/>
      <c r="L7" s="141"/>
      <c r="M7" s="141"/>
      <c r="N7" s="141"/>
      <c r="O7" s="141"/>
      <c r="P7" s="141" t="s">
        <v>1298</v>
      </c>
      <c r="Q7" s="141"/>
      <c r="R7" s="141"/>
      <c r="S7" s="141"/>
      <c r="T7" s="141"/>
      <c r="U7" s="141"/>
      <c r="V7" s="141"/>
      <c r="W7" s="141" t="s">
        <v>412</v>
      </c>
      <c r="X7" s="141" t="s">
        <v>412</v>
      </c>
      <c r="Y7" s="141" t="s">
        <v>412</v>
      </c>
      <c r="Z7" s="5"/>
      <c r="AA7" s="40"/>
    </row>
    <row r="8">
      <c r="A8" s="111" t="s">
        <v>1299</v>
      </c>
      <c r="B8" s="141" t="s">
        <v>1269</v>
      </c>
      <c r="C8" s="111" t="s">
        <v>3458</v>
      </c>
      <c r="D8" s="38" t="s">
        <v>1300</v>
      </c>
      <c r="E8" s="111" t="s">
        <v>1301</v>
      </c>
      <c r="F8" s="111" t="s">
        <v>1302</v>
      </c>
      <c r="G8" s="111" t="s">
        <v>1303</v>
      </c>
      <c r="H8" s="111" t="s">
        <v>1304</v>
      </c>
      <c r="I8" s="111">
        <v>60.0</v>
      </c>
      <c r="J8" s="111" t="s">
        <v>412</v>
      </c>
      <c r="K8" s="111"/>
      <c r="L8" s="111"/>
      <c r="M8" s="111"/>
      <c r="N8" s="111"/>
      <c r="O8" s="111"/>
      <c r="P8" s="111" t="s">
        <v>1298</v>
      </c>
      <c r="Q8" s="111"/>
      <c r="R8" s="111"/>
      <c r="S8" s="111"/>
      <c r="T8" s="111"/>
      <c r="U8" s="111"/>
      <c r="V8" s="111"/>
      <c r="W8" s="111" t="s">
        <v>412</v>
      </c>
      <c r="X8" s="111" t="s">
        <v>412</v>
      </c>
      <c r="Y8" s="111"/>
      <c r="Z8" s="2"/>
      <c r="AA8" s="143"/>
      <c r="AB8" s="144"/>
      <c r="AC8" s="144"/>
      <c r="AD8" s="144"/>
      <c r="AE8" s="144"/>
      <c r="AF8" s="144"/>
      <c r="AG8" s="144"/>
      <c r="AH8" s="144"/>
      <c r="AI8" s="144"/>
    </row>
    <row r="9">
      <c r="A9" s="141" t="s">
        <v>1305</v>
      </c>
      <c r="B9" s="141" t="s">
        <v>1269</v>
      </c>
      <c r="C9" s="141" t="s">
        <v>3458</v>
      </c>
      <c r="D9" s="142" t="s">
        <v>1306</v>
      </c>
      <c r="E9" s="141" t="s">
        <v>1307</v>
      </c>
      <c r="F9" s="141" t="s">
        <v>1308</v>
      </c>
      <c r="G9" s="141" t="s">
        <v>1309</v>
      </c>
      <c r="H9" s="141" t="s">
        <v>1310</v>
      </c>
      <c r="I9" s="141">
        <v>70.0</v>
      </c>
      <c r="J9" s="141" t="s">
        <v>412</v>
      </c>
      <c r="K9" s="141"/>
      <c r="L9" s="141"/>
      <c r="M9" s="141"/>
      <c r="N9" s="141" t="s">
        <v>1311</v>
      </c>
      <c r="O9" s="141"/>
      <c r="P9" s="141"/>
      <c r="Q9" s="141"/>
      <c r="R9" s="141"/>
      <c r="S9" s="141"/>
      <c r="T9" s="141"/>
      <c r="U9" s="141"/>
      <c r="V9" s="141"/>
      <c r="W9" s="141" t="s">
        <v>412</v>
      </c>
      <c r="X9" s="141" t="s">
        <v>412</v>
      </c>
      <c r="Y9" s="141"/>
      <c r="Z9" s="5"/>
      <c r="AA9" s="40"/>
    </row>
    <row r="10" ht="19.5" customHeight="1">
      <c r="A10" s="141" t="s">
        <v>1312</v>
      </c>
      <c r="B10" s="141" t="s">
        <v>1269</v>
      </c>
      <c r="C10" s="141" t="s">
        <v>3424</v>
      </c>
      <c r="D10" s="142" t="s">
        <v>1313</v>
      </c>
      <c r="E10" s="141" t="s">
        <v>1314</v>
      </c>
      <c r="F10" s="141" t="s">
        <v>1315</v>
      </c>
      <c r="G10" s="141" t="s">
        <v>1316</v>
      </c>
      <c r="H10" s="141" t="s">
        <v>1317</v>
      </c>
      <c r="I10" s="141"/>
      <c r="J10" s="141" t="s">
        <v>412</v>
      </c>
      <c r="K10" s="141"/>
      <c r="L10" s="141"/>
      <c r="M10" s="141"/>
      <c r="N10" s="141"/>
      <c r="O10" s="141"/>
      <c r="P10" s="141"/>
      <c r="Q10" s="141"/>
      <c r="R10" s="141" t="s">
        <v>1318</v>
      </c>
      <c r="S10" s="141" t="s">
        <v>1319</v>
      </c>
      <c r="T10" s="141"/>
      <c r="U10" s="141" t="s">
        <v>412</v>
      </c>
      <c r="V10" s="141" t="s">
        <v>412</v>
      </c>
      <c r="W10" s="141" t="s">
        <v>412</v>
      </c>
      <c r="X10" s="141" t="s">
        <v>412</v>
      </c>
      <c r="Y10" s="141"/>
      <c r="Z10" s="5"/>
      <c r="AA10" s="40"/>
    </row>
    <row r="11">
      <c r="A11" s="141" t="s">
        <v>1320</v>
      </c>
      <c r="B11" s="141" t="s">
        <v>1269</v>
      </c>
      <c r="C11" s="141" t="s">
        <v>3454</v>
      </c>
      <c r="D11" s="142" t="s">
        <v>1313</v>
      </c>
      <c r="E11" s="141" t="s">
        <v>1314</v>
      </c>
      <c r="F11" s="141" t="s">
        <v>1315</v>
      </c>
      <c r="G11" s="141" t="s">
        <v>1316</v>
      </c>
      <c r="H11" s="141" t="s">
        <v>1317</v>
      </c>
      <c r="I11" s="141"/>
      <c r="J11" s="141" t="s">
        <v>412</v>
      </c>
      <c r="K11" s="141"/>
      <c r="L11" s="141"/>
      <c r="M11" s="141"/>
      <c r="N11" s="141"/>
      <c r="O11" s="141"/>
      <c r="P11" s="141"/>
      <c r="Q11" s="141"/>
      <c r="R11" s="141" t="s">
        <v>1321</v>
      </c>
      <c r="S11" s="141" t="s">
        <v>1322</v>
      </c>
      <c r="T11" s="141"/>
      <c r="U11" s="141" t="s">
        <v>412</v>
      </c>
      <c r="V11" s="141"/>
      <c r="W11" s="141" t="s">
        <v>412</v>
      </c>
      <c r="X11" s="141" t="s">
        <v>412</v>
      </c>
      <c r="Y11" s="141" t="s">
        <v>1323</v>
      </c>
      <c r="Z11" s="5"/>
      <c r="AA11" s="40"/>
    </row>
    <row r="12">
      <c r="A12" s="141" t="s">
        <v>1324</v>
      </c>
      <c r="B12" s="141" t="s">
        <v>1269</v>
      </c>
      <c r="C12" s="141" t="s">
        <v>3437</v>
      </c>
      <c r="D12" s="142" t="s">
        <v>1325</v>
      </c>
      <c r="E12" s="141" t="s">
        <v>1326</v>
      </c>
      <c r="F12" s="141" t="s">
        <v>1327</v>
      </c>
      <c r="G12" s="141" t="s">
        <v>1328</v>
      </c>
      <c r="H12" s="141" t="s">
        <v>1329</v>
      </c>
      <c r="I12" s="141"/>
      <c r="J12" s="141" t="s">
        <v>3459</v>
      </c>
      <c r="K12" s="141"/>
      <c r="L12" s="141">
        <v>50.0</v>
      </c>
      <c r="M12" s="141"/>
      <c r="N12" s="141" t="s">
        <v>412</v>
      </c>
      <c r="O12" s="141" t="s">
        <v>412</v>
      </c>
      <c r="P12" s="141" t="s">
        <v>412</v>
      </c>
      <c r="Q12" s="141"/>
      <c r="R12" s="141"/>
      <c r="S12" s="141"/>
      <c r="T12" s="141"/>
      <c r="U12" s="141"/>
      <c r="V12" s="141"/>
      <c r="W12" s="141" t="s">
        <v>412</v>
      </c>
      <c r="X12" s="141" t="s">
        <v>412</v>
      </c>
      <c r="Y12" s="141"/>
      <c r="Z12" s="5"/>
      <c r="AA12" s="40"/>
    </row>
    <row r="13">
      <c r="A13" s="141" t="s">
        <v>1330</v>
      </c>
      <c r="B13" s="141" t="s">
        <v>1269</v>
      </c>
      <c r="C13" s="141" t="s">
        <v>3437</v>
      </c>
      <c r="D13" s="142" t="s">
        <v>1331</v>
      </c>
      <c r="E13" s="141" t="s">
        <v>1332</v>
      </c>
      <c r="F13" s="145" t="s">
        <v>1333</v>
      </c>
      <c r="G13" s="141" t="s">
        <v>1334</v>
      </c>
      <c r="H13" s="141" t="s">
        <v>1335</v>
      </c>
      <c r="I13" s="141"/>
      <c r="J13" s="141" t="s">
        <v>412</v>
      </c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 t="s">
        <v>412</v>
      </c>
      <c r="X13" s="141" t="s">
        <v>412</v>
      </c>
      <c r="Y13" s="141" t="s">
        <v>1336</v>
      </c>
      <c r="Z13" s="5"/>
      <c r="AA13" s="40"/>
    </row>
    <row r="14">
      <c r="A14" s="141" t="s">
        <v>1337</v>
      </c>
      <c r="B14" s="141" t="s">
        <v>1269</v>
      </c>
      <c r="C14" s="141" t="s">
        <v>3437</v>
      </c>
      <c r="D14" s="142" t="s">
        <v>1338</v>
      </c>
      <c r="E14" s="141" t="s">
        <v>1339</v>
      </c>
      <c r="F14" s="145" t="s">
        <v>1340</v>
      </c>
      <c r="G14" s="141" t="s">
        <v>1341</v>
      </c>
      <c r="H14" s="141" t="s">
        <v>1342</v>
      </c>
      <c r="I14" s="141"/>
      <c r="J14" s="141" t="s">
        <v>412</v>
      </c>
      <c r="K14" s="141"/>
      <c r="L14" s="141" t="s">
        <v>1343</v>
      </c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 t="s">
        <v>412</v>
      </c>
      <c r="X14" s="141" t="s">
        <v>412</v>
      </c>
      <c r="Y14" s="141" t="s">
        <v>1344</v>
      </c>
      <c r="Z14" s="5"/>
      <c r="AA14" s="40"/>
    </row>
    <row r="15">
      <c r="A15" s="141" t="s">
        <v>1345</v>
      </c>
      <c r="B15" s="141" t="s">
        <v>1269</v>
      </c>
      <c r="C15" s="141" t="s">
        <v>3460</v>
      </c>
      <c r="D15" s="142" t="s">
        <v>1338</v>
      </c>
      <c r="E15" s="141" t="s">
        <v>1339</v>
      </c>
      <c r="F15" s="145" t="s">
        <v>1340</v>
      </c>
      <c r="G15" s="141" t="s">
        <v>1341</v>
      </c>
      <c r="H15" s="141" t="s">
        <v>1342</v>
      </c>
      <c r="I15" s="141"/>
      <c r="J15" s="141" t="s">
        <v>1347</v>
      </c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 t="s">
        <v>1346</v>
      </c>
      <c r="X15" s="141" t="s">
        <v>412</v>
      </c>
      <c r="Y15" s="141"/>
      <c r="Z15" s="5"/>
      <c r="AA15" s="40"/>
    </row>
    <row r="16">
      <c r="A16" s="141" t="s">
        <v>1348</v>
      </c>
      <c r="B16" s="141" t="s">
        <v>1269</v>
      </c>
      <c r="C16" s="141" t="s">
        <v>3437</v>
      </c>
      <c r="D16" s="142" t="s">
        <v>1349</v>
      </c>
      <c r="E16" s="141" t="s">
        <v>1350</v>
      </c>
      <c r="F16" s="145" t="s">
        <v>1351</v>
      </c>
      <c r="G16" s="141" t="s">
        <v>1352</v>
      </c>
      <c r="H16" s="141" t="s">
        <v>1353</v>
      </c>
      <c r="I16" s="141"/>
      <c r="J16" s="141" t="s">
        <v>3461</v>
      </c>
      <c r="K16" s="141"/>
      <c r="L16" s="141">
        <v>180.0</v>
      </c>
      <c r="M16" s="141" t="s">
        <v>1354</v>
      </c>
      <c r="N16" s="141" t="s">
        <v>412</v>
      </c>
      <c r="O16" s="141" t="s">
        <v>412</v>
      </c>
      <c r="P16" s="141" t="s">
        <v>412</v>
      </c>
      <c r="Q16" s="141"/>
      <c r="R16" s="141"/>
      <c r="S16" s="141"/>
      <c r="T16" s="141"/>
      <c r="U16" s="141" t="s">
        <v>412</v>
      </c>
      <c r="V16" s="141"/>
      <c r="W16" s="141" t="s">
        <v>1355</v>
      </c>
      <c r="X16" s="141" t="s">
        <v>412</v>
      </c>
      <c r="Y16" s="141"/>
      <c r="Z16" s="44"/>
    </row>
    <row r="17">
      <c r="A17" s="141" t="s">
        <v>1348</v>
      </c>
      <c r="B17" s="141" t="s">
        <v>1269</v>
      </c>
      <c r="C17" s="141" t="s">
        <v>3437</v>
      </c>
      <c r="D17" s="142" t="s">
        <v>1349</v>
      </c>
      <c r="E17" s="141" t="s">
        <v>1350</v>
      </c>
      <c r="F17" s="145" t="s">
        <v>1351</v>
      </c>
      <c r="G17" s="141" t="s">
        <v>1352</v>
      </c>
      <c r="H17" s="141" t="s">
        <v>1353</v>
      </c>
      <c r="I17" s="141"/>
      <c r="J17" s="141" t="s">
        <v>3462</v>
      </c>
      <c r="K17" s="141"/>
      <c r="L17" s="141">
        <v>30.0</v>
      </c>
      <c r="M17" s="141"/>
      <c r="N17" s="141" t="s">
        <v>412</v>
      </c>
      <c r="O17" s="141" t="s">
        <v>412</v>
      </c>
      <c r="P17" s="141" t="s">
        <v>412</v>
      </c>
      <c r="Q17" s="141"/>
      <c r="R17" s="141"/>
      <c r="S17" s="141"/>
      <c r="T17" s="141"/>
      <c r="U17" s="141" t="s">
        <v>412</v>
      </c>
      <c r="V17" s="141"/>
      <c r="W17" s="141" t="s">
        <v>1356</v>
      </c>
      <c r="X17" s="141" t="s">
        <v>412</v>
      </c>
      <c r="Y17" s="141"/>
      <c r="Z17" s="44"/>
    </row>
    <row r="18">
      <c r="A18" s="141" t="s">
        <v>1357</v>
      </c>
      <c r="B18" s="141" t="s">
        <v>1269</v>
      </c>
      <c r="C18" s="141" t="s">
        <v>3437</v>
      </c>
      <c r="D18" s="142" t="s">
        <v>1358</v>
      </c>
      <c r="E18" s="141" t="s">
        <v>1359</v>
      </c>
      <c r="F18" s="141" t="s">
        <v>1360</v>
      </c>
      <c r="G18" s="141" t="s">
        <v>1361</v>
      </c>
      <c r="H18" s="141" t="s">
        <v>1362</v>
      </c>
      <c r="I18" s="141"/>
      <c r="J18" s="141" t="s">
        <v>412</v>
      </c>
      <c r="K18" s="141" t="s">
        <v>3463</v>
      </c>
      <c r="L18" s="141" t="s">
        <v>685</v>
      </c>
      <c r="M18" s="141"/>
      <c r="N18" s="141"/>
      <c r="O18" s="141"/>
      <c r="P18" s="141"/>
      <c r="Q18" s="141"/>
      <c r="R18" s="141"/>
      <c r="S18" s="141"/>
      <c r="T18" s="141"/>
      <c r="U18" s="141" t="s">
        <v>412</v>
      </c>
      <c r="V18" s="141"/>
      <c r="W18" s="141" t="s">
        <v>412</v>
      </c>
      <c r="X18" s="141" t="s">
        <v>412</v>
      </c>
      <c r="Y18" s="141"/>
      <c r="Z18" s="44"/>
    </row>
    <row r="19">
      <c r="A19" s="141" t="s">
        <v>1363</v>
      </c>
      <c r="B19" s="141" t="s">
        <v>1269</v>
      </c>
      <c r="C19" s="141" t="s">
        <v>3437</v>
      </c>
      <c r="D19" s="142" t="s">
        <v>1364</v>
      </c>
      <c r="E19" s="141" t="s">
        <v>1365</v>
      </c>
      <c r="F19" s="141" t="s">
        <v>1366</v>
      </c>
      <c r="G19" s="141" t="s">
        <v>1367</v>
      </c>
      <c r="H19" s="141" t="s">
        <v>1368</v>
      </c>
      <c r="I19" s="141"/>
      <c r="J19" s="141"/>
      <c r="K19" s="141" t="s">
        <v>3463</v>
      </c>
      <c r="L19" s="141">
        <v>150.0</v>
      </c>
      <c r="M19" s="141"/>
      <c r="N19" s="141" t="s">
        <v>448</v>
      </c>
      <c r="O19" s="141" t="s">
        <v>448</v>
      </c>
      <c r="P19" s="141" t="s">
        <v>448</v>
      </c>
      <c r="Q19" s="141"/>
      <c r="R19" s="141"/>
      <c r="S19" s="141"/>
      <c r="T19" s="141"/>
      <c r="U19" s="141"/>
      <c r="V19" s="141"/>
      <c r="W19" s="141" t="s">
        <v>412</v>
      </c>
      <c r="X19" s="141" t="s">
        <v>412</v>
      </c>
      <c r="Y19" s="141"/>
      <c r="Z19" s="44"/>
    </row>
    <row r="20">
      <c r="A20" s="141" t="s">
        <v>1369</v>
      </c>
      <c r="B20" s="141" t="s">
        <v>1269</v>
      </c>
      <c r="C20" s="141" t="s">
        <v>3438</v>
      </c>
      <c r="D20" s="142" t="s">
        <v>1370</v>
      </c>
      <c r="E20" s="141" t="s">
        <v>1371</v>
      </c>
      <c r="F20" s="145" t="s">
        <v>1372</v>
      </c>
      <c r="G20" s="141" t="s">
        <v>1373</v>
      </c>
      <c r="H20" s="141" t="s">
        <v>1374</v>
      </c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 t="s">
        <v>1375</v>
      </c>
      <c r="W20" s="141" t="s">
        <v>412</v>
      </c>
      <c r="X20" s="141" t="s">
        <v>412</v>
      </c>
      <c r="Y20" s="141"/>
      <c r="Z20" s="44"/>
    </row>
    <row r="21">
      <c r="A21" s="141" t="s">
        <v>1376</v>
      </c>
      <c r="B21" s="141" t="s">
        <v>1269</v>
      </c>
      <c r="C21" s="141" t="s">
        <v>3438</v>
      </c>
      <c r="D21" s="142" t="s">
        <v>1377</v>
      </c>
      <c r="E21" s="141" t="s">
        <v>1378</v>
      </c>
      <c r="F21" s="141" t="s">
        <v>1379</v>
      </c>
      <c r="G21" s="141" t="s">
        <v>1380</v>
      </c>
      <c r="H21" s="141" t="s">
        <v>1381</v>
      </c>
      <c r="I21" s="141"/>
      <c r="J21" s="141" t="s">
        <v>3464</v>
      </c>
      <c r="K21" s="141"/>
      <c r="L21" s="141"/>
      <c r="M21" s="141"/>
      <c r="N21" s="141" t="s">
        <v>3465</v>
      </c>
      <c r="O21" s="141"/>
      <c r="P21" s="141" t="s">
        <v>412</v>
      </c>
      <c r="Q21" s="141"/>
      <c r="R21" s="141"/>
      <c r="S21" s="141"/>
      <c r="T21" s="141"/>
      <c r="U21" s="141"/>
      <c r="V21" s="141" t="s">
        <v>1375</v>
      </c>
      <c r="W21" s="141" t="s">
        <v>412</v>
      </c>
      <c r="X21" s="141" t="s">
        <v>412</v>
      </c>
      <c r="Y21" s="141"/>
      <c r="Z21" s="44"/>
    </row>
    <row r="22">
      <c r="A22" s="141" t="s">
        <v>1382</v>
      </c>
      <c r="B22" s="141" t="s">
        <v>1269</v>
      </c>
      <c r="C22" s="141" t="s">
        <v>3438</v>
      </c>
      <c r="D22" s="142" t="s">
        <v>1383</v>
      </c>
      <c r="E22" s="141" t="s">
        <v>1384</v>
      </c>
      <c r="F22" s="141" t="s">
        <v>1385</v>
      </c>
      <c r="G22" s="141" t="s">
        <v>1386</v>
      </c>
      <c r="H22" s="141" t="s">
        <v>1387</v>
      </c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 t="s">
        <v>1375</v>
      </c>
      <c r="W22" s="141"/>
      <c r="X22" s="141"/>
      <c r="Y22" s="141"/>
      <c r="Z22" s="44"/>
    </row>
    <row r="23">
      <c r="A23" s="141" t="s">
        <v>1388</v>
      </c>
      <c r="B23" s="141" t="s">
        <v>1269</v>
      </c>
      <c r="C23" s="141" t="s">
        <v>3438</v>
      </c>
      <c r="D23" s="142" t="s">
        <v>1389</v>
      </c>
      <c r="E23" s="141" t="s">
        <v>1390</v>
      </c>
      <c r="F23" s="141" t="s">
        <v>1391</v>
      </c>
      <c r="G23" s="141" t="s">
        <v>1392</v>
      </c>
      <c r="H23" s="141" t="s">
        <v>1393</v>
      </c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44"/>
    </row>
    <row r="24">
      <c r="A24" s="141" t="s">
        <v>1394</v>
      </c>
      <c r="B24" s="141" t="s">
        <v>1269</v>
      </c>
      <c r="C24" s="141" t="s">
        <v>3438</v>
      </c>
      <c r="D24" s="142" t="s">
        <v>1395</v>
      </c>
      <c r="E24" s="141" t="s">
        <v>1396</v>
      </c>
      <c r="F24" s="141" t="s">
        <v>1397</v>
      </c>
      <c r="G24" s="141" t="s">
        <v>1398</v>
      </c>
      <c r="H24" s="141" t="s">
        <v>1399</v>
      </c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44"/>
    </row>
    <row r="25">
      <c r="A25" s="141" t="s">
        <v>1400</v>
      </c>
      <c r="B25" s="141" t="s">
        <v>1269</v>
      </c>
      <c r="C25" s="141" t="s">
        <v>3438</v>
      </c>
      <c r="D25" s="142" t="s">
        <v>1401</v>
      </c>
      <c r="E25" s="141" t="s">
        <v>1402</v>
      </c>
      <c r="F25" s="141" t="s">
        <v>1403</v>
      </c>
      <c r="G25" s="141" t="s">
        <v>1404</v>
      </c>
      <c r="H25" s="141" t="s">
        <v>1405</v>
      </c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44"/>
    </row>
    <row r="26">
      <c r="A26" s="141" t="s">
        <v>1406</v>
      </c>
      <c r="B26" s="141" t="s">
        <v>1269</v>
      </c>
      <c r="C26" s="141" t="s">
        <v>3438</v>
      </c>
      <c r="D26" s="142" t="s">
        <v>1407</v>
      </c>
      <c r="E26" s="141" t="s">
        <v>1408</v>
      </c>
      <c r="F26" s="141" t="s">
        <v>1409</v>
      </c>
      <c r="G26" s="141" t="s">
        <v>1410</v>
      </c>
      <c r="H26" s="141" t="s">
        <v>1411</v>
      </c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44"/>
    </row>
    <row r="27">
      <c r="A27" s="141" t="s">
        <v>1412</v>
      </c>
      <c r="B27" s="141" t="s">
        <v>1269</v>
      </c>
      <c r="C27" s="141" t="s">
        <v>3438</v>
      </c>
      <c r="D27" s="142" t="s">
        <v>1413</v>
      </c>
      <c r="E27" s="141" t="s">
        <v>1414</v>
      </c>
      <c r="F27" s="141" t="s">
        <v>1415</v>
      </c>
      <c r="G27" s="141" t="s">
        <v>1416</v>
      </c>
      <c r="H27" s="141" t="s">
        <v>1417</v>
      </c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44"/>
    </row>
    <row r="28">
      <c r="A28" s="141" t="s">
        <v>1418</v>
      </c>
      <c r="B28" s="141" t="s">
        <v>1269</v>
      </c>
      <c r="C28" s="141" t="s">
        <v>3438</v>
      </c>
      <c r="D28" s="142" t="s">
        <v>1419</v>
      </c>
      <c r="E28" s="141" t="s">
        <v>1420</v>
      </c>
      <c r="F28" s="141" t="s">
        <v>1421</v>
      </c>
      <c r="G28" s="141" t="s">
        <v>1422</v>
      </c>
      <c r="H28" s="141" t="s">
        <v>1423</v>
      </c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 t="s">
        <v>1375</v>
      </c>
      <c r="W28" s="141"/>
      <c r="X28" s="141"/>
      <c r="Y28" s="141"/>
      <c r="Z28" s="44"/>
    </row>
    <row r="29">
      <c r="A29" s="141" t="s">
        <v>1424</v>
      </c>
      <c r="B29" s="141" t="s">
        <v>1269</v>
      </c>
      <c r="C29" s="141" t="s">
        <v>3438</v>
      </c>
      <c r="D29" s="142" t="s">
        <v>1425</v>
      </c>
      <c r="E29" s="141" t="s">
        <v>1332</v>
      </c>
      <c r="F29" s="141" t="s">
        <v>1426</v>
      </c>
      <c r="G29" s="141" t="s">
        <v>1334</v>
      </c>
      <c r="H29" s="141" t="s">
        <v>1427</v>
      </c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44"/>
    </row>
    <row r="30">
      <c r="A30" s="141" t="s">
        <v>1428</v>
      </c>
      <c r="B30" s="141" t="s">
        <v>1269</v>
      </c>
      <c r="C30" s="141" t="s">
        <v>3438</v>
      </c>
      <c r="D30" s="142" t="s">
        <v>1429</v>
      </c>
      <c r="E30" s="141" t="s">
        <v>1430</v>
      </c>
      <c r="F30" s="141" t="s">
        <v>1431</v>
      </c>
      <c r="G30" s="141" t="s">
        <v>1432</v>
      </c>
      <c r="H30" s="141" t="s">
        <v>1433</v>
      </c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44"/>
    </row>
    <row r="31">
      <c r="A31" s="141" t="s">
        <v>1434</v>
      </c>
      <c r="B31" s="141" t="s">
        <v>1269</v>
      </c>
      <c r="C31" s="141" t="s">
        <v>3438</v>
      </c>
      <c r="D31" s="142" t="s">
        <v>1435</v>
      </c>
      <c r="E31" s="141" t="s">
        <v>1436</v>
      </c>
      <c r="F31" s="141" t="s">
        <v>1437</v>
      </c>
      <c r="G31" s="141" t="s">
        <v>1438</v>
      </c>
      <c r="H31" s="141" t="s">
        <v>1439</v>
      </c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 t="s">
        <v>1375</v>
      </c>
      <c r="W31" s="141"/>
      <c r="X31" s="141"/>
      <c r="Y31" s="141"/>
      <c r="Z31" s="44"/>
    </row>
    <row r="32">
      <c r="A32" s="141" t="s">
        <v>1440</v>
      </c>
      <c r="B32" s="141" t="s">
        <v>1269</v>
      </c>
      <c r="C32" s="141" t="s">
        <v>3438</v>
      </c>
      <c r="D32" s="142" t="s">
        <v>1441</v>
      </c>
      <c r="E32" s="141" t="s">
        <v>1436</v>
      </c>
      <c r="F32" s="141" t="s">
        <v>1442</v>
      </c>
      <c r="G32" s="141" t="s">
        <v>1432</v>
      </c>
      <c r="H32" s="141" t="s">
        <v>1443</v>
      </c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 t="s">
        <v>1375</v>
      </c>
      <c r="W32" s="141"/>
      <c r="X32" s="141"/>
      <c r="Y32" s="141"/>
      <c r="Z32" s="44"/>
    </row>
    <row r="33">
      <c r="A33" s="141" t="s">
        <v>1444</v>
      </c>
      <c r="B33" s="141" t="s">
        <v>1269</v>
      </c>
      <c r="C33" s="141" t="s">
        <v>3415</v>
      </c>
      <c r="D33" s="142" t="s">
        <v>1445</v>
      </c>
      <c r="E33" s="141">
        <v>5.3058873E7</v>
      </c>
      <c r="F33" s="145" t="s">
        <v>1446</v>
      </c>
      <c r="G33" s="141"/>
      <c r="H33" s="141" t="s">
        <v>1447</v>
      </c>
      <c r="I33" s="141"/>
      <c r="J33" s="141" t="s">
        <v>3466</v>
      </c>
      <c r="K33" s="141"/>
      <c r="L33" s="141"/>
      <c r="M33" s="141"/>
      <c r="N33" s="141" t="s">
        <v>412</v>
      </c>
      <c r="O33" s="141" t="s">
        <v>412</v>
      </c>
      <c r="P33" s="141"/>
      <c r="Q33" s="141"/>
      <c r="R33" s="141"/>
      <c r="S33" s="141"/>
      <c r="T33" s="141"/>
      <c r="U33" s="141"/>
      <c r="V33" s="141"/>
      <c r="W33" s="141" t="s">
        <v>412</v>
      </c>
      <c r="X33" s="141" t="s">
        <v>412</v>
      </c>
      <c r="Y33" s="141"/>
      <c r="Z33" s="44"/>
    </row>
    <row r="34">
      <c r="A34" s="141" t="s">
        <v>1448</v>
      </c>
      <c r="B34" s="141" t="s">
        <v>1269</v>
      </c>
      <c r="C34" s="141" t="s">
        <v>415</v>
      </c>
      <c r="D34" s="142" t="s">
        <v>1449</v>
      </c>
      <c r="E34" s="141">
        <v>7309880.0</v>
      </c>
      <c r="F34" s="141" t="s">
        <v>1450</v>
      </c>
      <c r="G34" s="141"/>
      <c r="H34" s="141" t="s">
        <v>1451</v>
      </c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44"/>
    </row>
    <row r="35">
      <c r="A35" s="141" t="s">
        <v>1452</v>
      </c>
      <c r="B35" s="141" t="s">
        <v>1269</v>
      </c>
      <c r="C35" s="141" t="s">
        <v>415</v>
      </c>
      <c r="D35" s="142" t="s">
        <v>1453</v>
      </c>
      <c r="E35" s="141"/>
      <c r="F35" s="141"/>
      <c r="G35" s="141"/>
      <c r="H35" s="141" t="s">
        <v>1454</v>
      </c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 t="s">
        <v>412</v>
      </c>
      <c r="Y35" s="141"/>
      <c r="Z35" s="44"/>
    </row>
    <row r="36">
      <c r="A36" s="141" t="s">
        <v>1455</v>
      </c>
      <c r="B36" s="141" t="s">
        <v>1269</v>
      </c>
      <c r="C36" s="141" t="s">
        <v>415</v>
      </c>
      <c r="D36" s="142" t="s">
        <v>1456</v>
      </c>
      <c r="E36" s="141" t="s">
        <v>1457</v>
      </c>
      <c r="F36" s="141" t="s">
        <v>1458</v>
      </c>
      <c r="G36" s="141"/>
      <c r="H36" s="141" t="s">
        <v>1459</v>
      </c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 t="s">
        <v>412</v>
      </c>
      <c r="Y36" s="141"/>
      <c r="Z36" s="44"/>
    </row>
    <row r="37">
      <c r="A37" s="141" t="s">
        <v>1460</v>
      </c>
      <c r="B37" s="141" t="s">
        <v>1269</v>
      </c>
      <c r="C37" s="141" t="s">
        <v>415</v>
      </c>
      <c r="D37" s="142" t="s">
        <v>1461</v>
      </c>
      <c r="E37" s="141">
        <v>5229537.0</v>
      </c>
      <c r="F37" s="141" t="s">
        <v>1446</v>
      </c>
      <c r="G37" s="141"/>
      <c r="H37" s="141" t="s">
        <v>1462</v>
      </c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 t="s">
        <v>412</v>
      </c>
      <c r="Y37" s="141"/>
      <c r="Z37" s="44"/>
    </row>
    <row r="38">
      <c r="A38" s="141" t="s">
        <v>1463</v>
      </c>
      <c r="B38" s="141" t="s">
        <v>1269</v>
      </c>
      <c r="C38" s="141" t="s">
        <v>415</v>
      </c>
      <c r="D38" s="142" t="s">
        <v>1464</v>
      </c>
      <c r="E38" s="141">
        <v>7679511.0</v>
      </c>
      <c r="F38" s="141"/>
      <c r="G38" s="141"/>
      <c r="H38" s="141" t="s">
        <v>1465</v>
      </c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 t="s">
        <v>412</v>
      </c>
      <c r="Y38" s="141"/>
      <c r="Z38" s="44"/>
    </row>
    <row r="39">
      <c r="A39" s="141" t="s">
        <v>1466</v>
      </c>
      <c r="B39" s="141" t="s">
        <v>1269</v>
      </c>
      <c r="C39" s="141" t="s">
        <v>415</v>
      </c>
      <c r="D39" s="142" t="s">
        <v>1467</v>
      </c>
      <c r="E39" s="141"/>
      <c r="F39" s="141"/>
      <c r="G39" s="141"/>
      <c r="H39" s="141" t="s">
        <v>1468</v>
      </c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 t="s">
        <v>412</v>
      </c>
      <c r="Y39" s="141"/>
      <c r="Z39" s="44"/>
    </row>
    <row r="40">
      <c r="A40" s="141" t="s">
        <v>1469</v>
      </c>
      <c r="B40" s="141" t="s">
        <v>1269</v>
      </c>
      <c r="C40" s="141" t="s">
        <v>415</v>
      </c>
      <c r="D40" s="142" t="s">
        <v>1470</v>
      </c>
      <c r="E40" s="141">
        <v>7309880.0</v>
      </c>
      <c r="F40" s="141" t="s">
        <v>1450</v>
      </c>
      <c r="G40" s="141"/>
      <c r="H40" s="141" t="s">
        <v>1471</v>
      </c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 t="s">
        <v>412</v>
      </c>
      <c r="Y40" s="141"/>
      <c r="Z40" s="44"/>
    </row>
    <row r="41">
      <c r="A41" s="141" t="s">
        <v>1472</v>
      </c>
      <c r="B41" s="141" t="s">
        <v>1269</v>
      </c>
      <c r="C41" s="141" t="s">
        <v>3435</v>
      </c>
      <c r="D41" s="142" t="s">
        <v>1473</v>
      </c>
      <c r="E41" s="141" t="s">
        <v>1365</v>
      </c>
      <c r="F41" s="145" t="s">
        <v>1474</v>
      </c>
      <c r="G41" s="141" t="s">
        <v>1475</v>
      </c>
      <c r="H41" s="141" t="s">
        <v>1476</v>
      </c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44"/>
    </row>
    <row r="42">
      <c r="A42" s="141" t="s">
        <v>1477</v>
      </c>
      <c r="B42" s="141" t="s">
        <v>1269</v>
      </c>
      <c r="C42" s="141" t="s">
        <v>3435</v>
      </c>
      <c r="D42" s="142" t="s">
        <v>1478</v>
      </c>
      <c r="E42" s="141" t="s">
        <v>1479</v>
      </c>
      <c r="F42" s="145" t="s">
        <v>1480</v>
      </c>
      <c r="G42" s="141" t="s">
        <v>1481</v>
      </c>
      <c r="H42" s="141" t="s">
        <v>1482</v>
      </c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44"/>
    </row>
    <row r="43">
      <c r="A43" s="141" t="s">
        <v>1483</v>
      </c>
      <c r="B43" s="141" t="s">
        <v>1269</v>
      </c>
      <c r="C43" s="141" t="s">
        <v>3435</v>
      </c>
      <c r="D43" s="142" t="s">
        <v>1484</v>
      </c>
      <c r="E43" s="141"/>
      <c r="F43" s="145" t="s">
        <v>1485</v>
      </c>
      <c r="G43" s="141" t="s">
        <v>1367</v>
      </c>
      <c r="H43" s="141" t="s">
        <v>1486</v>
      </c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44"/>
    </row>
    <row r="44">
      <c r="A44" s="141" t="s">
        <v>1487</v>
      </c>
      <c r="B44" s="141" t="s">
        <v>1269</v>
      </c>
      <c r="C44" s="141" t="s">
        <v>3435</v>
      </c>
      <c r="D44" s="142" t="s">
        <v>1488</v>
      </c>
      <c r="E44" s="141"/>
      <c r="F44" s="145" t="s">
        <v>1489</v>
      </c>
      <c r="G44" s="141"/>
      <c r="H44" s="141" t="s">
        <v>1490</v>
      </c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44"/>
    </row>
    <row r="45">
      <c r="A45" s="141" t="s">
        <v>1491</v>
      </c>
      <c r="B45" s="141" t="s">
        <v>1269</v>
      </c>
      <c r="C45" s="141" t="s">
        <v>3435</v>
      </c>
      <c r="D45" s="142" t="s">
        <v>1492</v>
      </c>
      <c r="E45" s="141"/>
      <c r="F45" s="145" t="s">
        <v>1493</v>
      </c>
      <c r="G45" s="141" t="s">
        <v>1494</v>
      </c>
      <c r="H45" s="141" t="s">
        <v>1495</v>
      </c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44"/>
    </row>
    <row r="46">
      <c r="A46" s="141" t="s">
        <v>1496</v>
      </c>
      <c r="B46" s="141" t="s">
        <v>1269</v>
      </c>
      <c r="C46" s="141" t="s">
        <v>3435</v>
      </c>
      <c r="D46" s="142" t="s">
        <v>1497</v>
      </c>
      <c r="E46" s="141"/>
      <c r="F46" s="145" t="s">
        <v>1498</v>
      </c>
      <c r="G46" s="141" t="s">
        <v>1499</v>
      </c>
      <c r="H46" s="141" t="s">
        <v>1500</v>
      </c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44"/>
    </row>
    <row r="47">
      <c r="A47" s="141" t="s">
        <v>1501</v>
      </c>
      <c r="B47" s="141" t="s">
        <v>1269</v>
      </c>
      <c r="C47" s="141" t="s">
        <v>3435</v>
      </c>
      <c r="D47" s="142" t="s">
        <v>1502</v>
      </c>
      <c r="E47" s="141" t="s">
        <v>1503</v>
      </c>
      <c r="F47" s="141" t="s">
        <v>1504</v>
      </c>
      <c r="G47" s="141" t="s">
        <v>1505</v>
      </c>
      <c r="H47" s="141" t="s">
        <v>1506</v>
      </c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44"/>
    </row>
    <row r="48">
      <c r="A48" s="141" t="s">
        <v>1166</v>
      </c>
      <c r="B48" s="141" t="s">
        <v>1269</v>
      </c>
      <c r="C48" s="141" t="s">
        <v>3435</v>
      </c>
      <c r="D48" s="142" t="s">
        <v>1507</v>
      </c>
      <c r="E48" s="141" t="s">
        <v>1508</v>
      </c>
      <c r="F48" s="141" t="s">
        <v>1169</v>
      </c>
      <c r="G48" s="141" t="s">
        <v>1509</v>
      </c>
      <c r="H48" s="141" t="s">
        <v>1510</v>
      </c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44"/>
    </row>
    <row r="49">
      <c r="A49" s="141" t="s">
        <v>1511</v>
      </c>
      <c r="B49" s="141" t="s">
        <v>1269</v>
      </c>
      <c r="C49" s="141" t="s">
        <v>3429</v>
      </c>
      <c r="D49" s="142" t="s">
        <v>1512</v>
      </c>
      <c r="E49" s="141" t="s">
        <v>1513</v>
      </c>
      <c r="F49" s="141" t="s">
        <v>1514</v>
      </c>
      <c r="G49" s="141" t="s">
        <v>1515</v>
      </c>
      <c r="H49" s="141" t="s">
        <v>1516</v>
      </c>
      <c r="I49" s="141"/>
      <c r="J49" s="141" t="s">
        <v>412</v>
      </c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 t="s">
        <v>412</v>
      </c>
      <c r="X49" s="141" t="s">
        <v>412</v>
      </c>
      <c r="Y49" s="141" t="s">
        <v>412</v>
      </c>
      <c r="Z49" s="44"/>
    </row>
    <row r="50">
      <c r="A50" s="141" t="s">
        <v>1517</v>
      </c>
      <c r="B50" s="141" t="s">
        <v>1269</v>
      </c>
      <c r="C50" s="141" t="s">
        <v>3429</v>
      </c>
      <c r="D50" s="142" t="s">
        <v>1518</v>
      </c>
      <c r="E50" s="141" t="s">
        <v>1519</v>
      </c>
      <c r="F50" s="141" t="s">
        <v>1520</v>
      </c>
      <c r="G50" s="141"/>
      <c r="H50" s="141" t="s">
        <v>1521</v>
      </c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4"/>
    </row>
    <row r="51">
      <c r="A51" s="141" t="s">
        <v>1522</v>
      </c>
      <c r="B51" s="141" t="s">
        <v>1269</v>
      </c>
      <c r="C51" s="141" t="s">
        <v>3429</v>
      </c>
      <c r="D51" s="142" t="s">
        <v>1523</v>
      </c>
      <c r="E51" s="141">
        <v>5.6619805E7</v>
      </c>
      <c r="F51" s="141" t="s">
        <v>1524</v>
      </c>
      <c r="G51" s="141"/>
      <c r="H51" s="145" t="s">
        <v>1525</v>
      </c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4"/>
    </row>
    <row r="52">
      <c r="A52" s="141" t="s">
        <v>1526</v>
      </c>
      <c r="B52" s="141" t="s">
        <v>1269</v>
      </c>
      <c r="C52" s="141" t="s">
        <v>3417</v>
      </c>
      <c r="D52" s="142" t="s">
        <v>1527</v>
      </c>
      <c r="E52" s="141" t="s">
        <v>1528</v>
      </c>
      <c r="F52" s="141"/>
      <c r="G52" s="141"/>
      <c r="H52" s="141" t="s">
        <v>1529</v>
      </c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4"/>
    </row>
    <row r="53">
      <c r="A53" s="141" t="s">
        <v>1530</v>
      </c>
      <c r="B53" s="141" t="s">
        <v>1269</v>
      </c>
      <c r="C53" s="141" t="s">
        <v>3418</v>
      </c>
      <c r="D53" s="142" t="s">
        <v>1531</v>
      </c>
      <c r="E53" s="141" t="s">
        <v>1532</v>
      </c>
      <c r="F53" s="145" t="s">
        <v>1533</v>
      </c>
      <c r="G53" s="141" t="s">
        <v>1534</v>
      </c>
      <c r="H53" s="141" t="s">
        <v>1535</v>
      </c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4"/>
    </row>
    <row r="54">
      <c r="A54" s="141" t="s">
        <v>1536</v>
      </c>
      <c r="B54" s="141" t="s">
        <v>1269</v>
      </c>
      <c r="C54" s="141" t="s">
        <v>3418</v>
      </c>
      <c r="D54" s="142" t="s">
        <v>1537</v>
      </c>
      <c r="E54" s="141" t="s">
        <v>1538</v>
      </c>
      <c r="F54" s="145" t="s">
        <v>1539</v>
      </c>
      <c r="G54" s="141" t="s">
        <v>1540</v>
      </c>
      <c r="H54" s="141" t="s">
        <v>1541</v>
      </c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4"/>
    </row>
    <row r="55">
      <c r="A55" s="141" t="s">
        <v>1542</v>
      </c>
      <c r="B55" s="141" t="s">
        <v>1269</v>
      </c>
      <c r="C55" s="141" t="s">
        <v>3418</v>
      </c>
      <c r="D55" s="142" t="s">
        <v>1543</v>
      </c>
      <c r="E55" s="141" t="s">
        <v>1544</v>
      </c>
      <c r="F55" s="141" t="s">
        <v>1545</v>
      </c>
      <c r="G55" s="141" t="s">
        <v>1546</v>
      </c>
      <c r="H55" s="141" t="s">
        <v>1547</v>
      </c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44"/>
    </row>
    <row r="56">
      <c r="A56" s="141" t="s">
        <v>1548</v>
      </c>
      <c r="B56" s="141" t="s">
        <v>1269</v>
      </c>
      <c r="C56" s="141" t="s">
        <v>3418</v>
      </c>
      <c r="D56" s="142" t="s">
        <v>1549</v>
      </c>
      <c r="E56" s="141" t="s">
        <v>1550</v>
      </c>
      <c r="F56" s="145" t="s">
        <v>1551</v>
      </c>
      <c r="G56" s="141" t="s">
        <v>1534</v>
      </c>
      <c r="H56" s="141" t="s">
        <v>1552</v>
      </c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44"/>
    </row>
    <row r="57">
      <c r="A57" s="141" t="s">
        <v>1553</v>
      </c>
      <c r="B57" s="141" t="s">
        <v>1269</v>
      </c>
      <c r="C57" s="141" t="s">
        <v>3418</v>
      </c>
      <c r="D57" s="142" t="s">
        <v>1554</v>
      </c>
      <c r="E57" s="141" t="s">
        <v>1555</v>
      </c>
      <c r="F57" s="141" t="s">
        <v>1556</v>
      </c>
      <c r="G57" s="141" t="s">
        <v>1557</v>
      </c>
      <c r="H57" s="141" t="s">
        <v>1558</v>
      </c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44"/>
    </row>
    <row r="58">
      <c r="A58" s="141" t="s">
        <v>1559</v>
      </c>
      <c r="B58" s="141" t="s">
        <v>1269</v>
      </c>
      <c r="C58" s="141" t="s">
        <v>3418</v>
      </c>
      <c r="D58" s="142" t="s">
        <v>1560</v>
      </c>
      <c r="E58" s="141" t="s">
        <v>1561</v>
      </c>
      <c r="F58" s="141" t="s">
        <v>1562</v>
      </c>
      <c r="G58" s="141" t="s">
        <v>1563</v>
      </c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44"/>
    </row>
    <row r="59">
      <c r="A59" s="146"/>
      <c r="B59" s="147"/>
      <c r="C59" s="147"/>
      <c r="D59" s="148"/>
      <c r="E59" s="147"/>
      <c r="F59" s="147"/>
      <c r="G59" s="147"/>
      <c r="H59" s="146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6"/>
      <c r="Z59" s="44"/>
    </row>
    <row r="60">
      <c r="A60" s="146"/>
      <c r="B60" s="147"/>
      <c r="C60" s="147"/>
      <c r="D60" s="148"/>
      <c r="E60" s="147"/>
      <c r="F60" s="147"/>
      <c r="G60" s="147"/>
      <c r="H60" s="146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6"/>
      <c r="Z60" s="44"/>
    </row>
    <row r="61">
      <c r="A61" s="146"/>
      <c r="B61" s="147"/>
      <c r="C61" s="147"/>
      <c r="D61" s="148"/>
      <c r="E61" s="147"/>
      <c r="F61" s="147"/>
      <c r="G61" s="147"/>
      <c r="H61" s="146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6"/>
      <c r="Z61" s="44"/>
    </row>
    <row r="62">
      <c r="A62" s="146"/>
      <c r="B62" s="147"/>
      <c r="C62" s="147"/>
      <c r="D62" s="148"/>
      <c r="E62" s="147"/>
      <c r="F62" s="147"/>
      <c r="G62" s="147"/>
      <c r="H62" s="146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6"/>
      <c r="Z62" s="44"/>
    </row>
    <row r="63">
      <c r="A63" s="146"/>
      <c r="B63" s="147"/>
      <c r="C63" s="147"/>
      <c r="D63" s="148"/>
      <c r="E63" s="147"/>
      <c r="F63" s="147"/>
      <c r="G63" s="147"/>
      <c r="H63" s="146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6"/>
      <c r="Z63" s="44"/>
    </row>
    <row r="64">
      <c r="A64" s="146"/>
      <c r="B64" s="147"/>
      <c r="C64" s="147"/>
      <c r="D64" s="148"/>
      <c r="E64" s="147"/>
      <c r="F64" s="147"/>
      <c r="G64" s="147"/>
      <c r="H64" s="146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6"/>
    </row>
    <row r="65">
      <c r="A65" s="146"/>
      <c r="B65" s="147"/>
      <c r="C65" s="147"/>
      <c r="D65" s="148"/>
      <c r="E65" s="147"/>
      <c r="F65" s="147"/>
      <c r="G65" s="147"/>
      <c r="H65" s="146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6"/>
    </row>
    <row r="66">
      <c r="A66" s="146"/>
      <c r="B66" s="147"/>
      <c r="C66" s="147"/>
      <c r="D66" s="148"/>
      <c r="E66" s="147"/>
      <c r="F66" s="147"/>
      <c r="G66" s="147"/>
      <c r="H66" s="146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6"/>
    </row>
    <row r="67">
      <c r="A67" s="146"/>
      <c r="B67" s="147"/>
      <c r="C67" s="147"/>
      <c r="D67" s="148"/>
      <c r="E67" s="147"/>
      <c r="F67" s="147"/>
      <c r="G67" s="147"/>
      <c r="H67" s="146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6"/>
    </row>
    <row r="68">
      <c r="A68" s="146"/>
      <c r="B68" s="147"/>
      <c r="C68" s="147"/>
      <c r="D68" s="148"/>
      <c r="E68" s="147"/>
      <c r="F68" s="147"/>
      <c r="G68" s="147"/>
      <c r="H68" s="146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6"/>
    </row>
    <row r="69">
      <c r="A69" s="146"/>
      <c r="B69" s="147"/>
      <c r="C69" s="147"/>
      <c r="D69" s="148"/>
      <c r="E69" s="147"/>
      <c r="F69" s="147"/>
      <c r="G69" s="147"/>
      <c r="H69" s="146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6"/>
    </row>
    <row r="70">
      <c r="A70" s="146"/>
      <c r="B70" s="147"/>
      <c r="C70" s="147"/>
      <c r="D70" s="148"/>
      <c r="E70" s="147"/>
      <c r="F70" s="147"/>
      <c r="G70" s="147"/>
      <c r="H70" s="146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6"/>
    </row>
    <row r="71">
      <c r="A71" s="146"/>
      <c r="B71" s="147"/>
      <c r="C71" s="147"/>
      <c r="D71" s="148"/>
      <c r="E71" s="147"/>
      <c r="F71" s="147"/>
      <c r="G71" s="147"/>
      <c r="H71" s="146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6"/>
    </row>
    <row r="72">
      <c r="A72" s="146"/>
      <c r="B72" s="147"/>
      <c r="C72" s="147"/>
      <c r="D72" s="148"/>
      <c r="E72" s="147"/>
      <c r="F72" s="147"/>
      <c r="G72" s="147"/>
      <c r="H72" s="146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6"/>
    </row>
    <row r="73">
      <c r="A73" s="146"/>
      <c r="B73" s="147"/>
      <c r="C73" s="147"/>
      <c r="D73" s="148"/>
      <c r="E73" s="147"/>
      <c r="F73" s="147"/>
      <c r="G73" s="147"/>
      <c r="H73" s="146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6"/>
    </row>
    <row r="74">
      <c r="A74" s="146"/>
      <c r="B74" s="147"/>
      <c r="C74" s="147"/>
      <c r="D74" s="148"/>
      <c r="E74" s="147"/>
      <c r="F74" s="147"/>
      <c r="G74" s="147"/>
      <c r="H74" s="146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6"/>
    </row>
    <row r="75">
      <c r="A75" s="146"/>
      <c r="B75" s="147"/>
      <c r="C75" s="147"/>
      <c r="D75" s="148"/>
      <c r="E75" s="147"/>
      <c r="F75" s="147"/>
      <c r="G75" s="147"/>
      <c r="H75" s="146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6"/>
    </row>
    <row r="76">
      <c r="A76" s="146"/>
      <c r="B76" s="147"/>
      <c r="C76" s="147"/>
      <c r="D76" s="148"/>
      <c r="E76" s="147"/>
      <c r="F76" s="147"/>
      <c r="G76" s="147"/>
      <c r="H76" s="146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6"/>
    </row>
    <row r="77">
      <c r="A77" s="146"/>
      <c r="B77" s="147"/>
      <c r="C77" s="147"/>
      <c r="D77" s="148"/>
      <c r="E77" s="147"/>
      <c r="F77" s="147"/>
      <c r="G77" s="147"/>
      <c r="H77" s="146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6"/>
    </row>
    <row r="78">
      <c r="A78" s="146"/>
      <c r="B78" s="147"/>
      <c r="C78" s="147"/>
      <c r="D78" s="148"/>
      <c r="E78" s="147"/>
      <c r="F78" s="147"/>
      <c r="G78" s="147"/>
      <c r="H78" s="146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6"/>
    </row>
    <row r="79">
      <c r="A79" s="146"/>
      <c r="B79" s="147"/>
      <c r="C79" s="147"/>
      <c r="D79" s="148"/>
      <c r="E79" s="147"/>
      <c r="F79" s="147"/>
      <c r="G79" s="147"/>
      <c r="H79" s="146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6"/>
    </row>
    <row r="80">
      <c r="A80" s="146"/>
      <c r="B80" s="147"/>
      <c r="C80" s="147"/>
      <c r="D80" s="148"/>
      <c r="E80" s="147"/>
      <c r="F80" s="147"/>
      <c r="G80" s="147"/>
      <c r="H80" s="146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6"/>
    </row>
    <row r="81">
      <c r="A81" s="146"/>
      <c r="B81" s="147"/>
      <c r="C81" s="147"/>
      <c r="D81" s="148"/>
      <c r="E81" s="147"/>
      <c r="F81" s="147"/>
      <c r="G81" s="147"/>
      <c r="H81" s="146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6"/>
    </row>
    <row r="82">
      <c r="A82" s="146"/>
      <c r="B82" s="147"/>
      <c r="C82" s="147"/>
      <c r="D82" s="148"/>
      <c r="E82" s="147"/>
      <c r="F82" s="147"/>
      <c r="G82" s="147"/>
      <c r="H82" s="146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6"/>
    </row>
    <row r="83">
      <c r="A83" s="146"/>
      <c r="B83" s="147"/>
      <c r="C83" s="147"/>
      <c r="D83" s="148"/>
      <c r="E83" s="147"/>
      <c r="F83" s="147"/>
      <c r="G83" s="147"/>
      <c r="H83" s="146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6"/>
    </row>
    <row r="84">
      <c r="A84" s="146"/>
      <c r="B84" s="147"/>
      <c r="C84" s="147"/>
      <c r="D84" s="148"/>
      <c r="E84" s="147"/>
      <c r="F84" s="147"/>
      <c r="G84" s="147"/>
      <c r="H84" s="146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6"/>
    </row>
    <row r="85">
      <c r="A85" s="146"/>
      <c r="B85" s="147"/>
      <c r="C85" s="147"/>
      <c r="D85" s="148"/>
      <c r="E85" s="147"/>
      <c r="F85" s="147"/>
      <c r="G85" s="147"/>
      <c r="H85" s="146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6"/>
    </row>
    <row r="86">
      <c r="A86" s="146"/>
      <c r="B86" s="147"/>
      <c r="C86" s="147"/>
      <c r="D86" s="148"/>
      <c r="E86" s="147"/>
      <c r="F86" s="147"/>
      <c r="G86" s="147"/>
      <c r="H86" s="146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6"/>
    </row>
    <row r="87">
      <c r="A87" s="146"/>
      <c r="B87" s="147"/>
      <c r="C87" s="147"/>
      <c r="D87" s="148"/>
      <c r="E87" s="147"/>
      <c r="F87" s="147"/>
      <c r="G87" s="147"/>
      <c r="H87" s="146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6"/>
    </row>
    <row r="88">
      <c r="A88" s="146"/>
      <c r="B88" s="147"/>
      <c r="C88" s="147"/>
      <c r="D88" s="148"/>
      <c r="E88" s="147"/>
      <c r="F88" s="147"/>
      <c r="G88" s="147"/>
      <c r="H88" s="146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6"/>
    </row>
    <row r="89">
      <c r="A89" s="146"/>
      <c r="B89" s="147"/>
      <c r="C89" s="147"/>
      <c r="D89" s="148"/>
      <c r="E89" s="147"/>
      <c r="F89" s="147"/>
      <c r="G89" s="147"/>
      <c r="H89" s="146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6"/>
    </row>
    <row r="90">
      <c r="A90" s="146"/>
      <c r="B90" s="147"/>
      <c r="C90" s="147"/>
      <c r="D90" s="148"/>
      <c r="E90" s="147"/>
      <c r="F90" s="147"/>
      <c r="G90" s="147"/>
      <c r="H90" s="146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6"/>
    </row>
    <row r="91">
      <c r="A91" s="146"/>
      <c r="B91" s="147"/>
      <c r="C91" s="147"/>
      <c r="D91" s="148"/>
      <c r="E91" s="147"/>
      <c r="F91" s="147"/>
      <c r="G91" s="147"/>
      <c r="H91" s="146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6"/>
    </row>
    <row r="92">
      <c r="A92" s="146"/>
      <c r="B92" s="147"/>
      <c r="C92" s="147"/>
      <c r="D92" s="148"/>
      <c r="E92" s="147"/>
      <c r="F92" s="147"/>
      <c r="G92" s="147"/>
      <c r="H92" s="146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6"/>
    </row>
    <row r="93">
      <c r="A93" s="146"/>
      <c r="B93" s="147"/>
      <c r="C93" s="147"/>
      <c r="D93" s="148"/>
      <c r="E93" s="147"/>
      <c r="F93" s="147"/>
      <c r="G93" s="147"/>
      <c r="H93" s="146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6"/>
    </row>
    <row r="94">
      <c r="A94" s="146"/>
      <c r="B94" s="147"/>
      <c r="C94" s="147"/>
      <c r="D94" s="148"/>
      <c r="E94" s="147"/>
      <c r="F94" s="147"/>
      <c r="G94" s="147"/>
      <c r="H94" s="146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6"/>
    </row>
    <row r="95">
      <c r="A95" s="146"/>
      <c r="B95" s="147"/>
      <c r="C95" s="147"/>
      <c r="D95" s="148"/>
      <c r="E95" s="147"/>
      <c r="F95" s="147"/>
      <c r="G95" s="147"/>
      <c r="H95" s="146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6"/>
    </row>
    <row r="96">
      <c r="A96" s="146"/>
      <c r="B96" s="147"/>
      <c r="C96" s="147"/>
      <c r="D96" s="148"/>
      <c r="E96" s="147"/>
      <c r="F96" s="147"/>
      <c r="G96" s="147"/>
      <c r="H96" s="146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6"/>
    </row>
    <row r="97">
      <c r="A97" s="146"/>
      <c r="B97" s="147"/>
      <c r="C97" s="147"/>
      <c r="D97" s="148"/>
      <c r="E97" s="147"/>
      <c r="F97" s="147"/>
      <c r="G97" s="147"/>
      <c r="H97" s="146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6"/>
    </row>
    <row r="98">
      <c r="A98" s="146"/>
      <c r="B98" s="147"/>
      <c r="C98" s="147"/>
      <c r="D98" s="148"/>
      <c r="E98" s="147"/>
      <c r="F98" s="147"/>
      <c r="G98" s="147"/>
      <c r="H98" s="146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6"/>
    </row>
    <row r="99">
      <c r="A99" s="146"/>
      <c r="B99" s="147"/>
      <c r="C99" s="147"/>
      <c r="D99" s="148"/>
      <c r="E99" s="147"/>
      <c r="F99" s="147"/>
      <c r="G99" s="147"/>
      <c r="H99" s="146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6"/>
    </row>
    <row r="100">
      <c r="A100" s="146"/>
      <c r="B100" s="147"/>
      <c r="C100" s="147"/>
      <c r="D100" s="148"/>
      <c r="E100" s="147"/>
      <c r="F100" s="147"/>
      <c r="G100" s="147"/>
      <c r="H100" s="146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6"/>
    </row>
    <row r="101">
      <c r="A101" s="146"/>
      <c r="B101" s="147"/>
      <c r="C101" s="147"/>
      <c r="D101" s="148"/>
      <c r="E101" s="147"/>
      <c r="F101" s="147"/>
      <c r="G101" s="147"/>
      <c r="H101" s="146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6"/>
    </row>
    <row r="102">
      <c r="A102" s="146"/>
      <c r="B102" s="147"/>
      <c r="C102" s="147"/>
      <c r="D102" s="148"/>
      <c r="E102" s="147"/>
      <c r="F102" s="147"/>
      <c r="G102" s="147"/>
      <c r="H102" s="146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6"/>
    </row>
    <row r="103">
      <c r="A103" s="146"/>
      <c r="B103" s="147"/>
      <c r="C103" s="147"/>
      <c r="D103" s="148"/>
      <c r="E103" s="147"/>
      <c r="F103" s="147"/>
      <c r="G103" s="147"/>
      <c r="H103" s="146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6"/>
    </row>
    <row r="104">
      <c r="A104" s="146"/>
      <c r="B104" s="147"/>
      <c r="C104" s="147"/>
      <c r="D104" s="148"/>
      <c r="E104" s="147"/>
      <c r="F104" s="147"/>
      <c r="G104" s="147"/>
      <c r="H104" s="146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6"/>
    </row>
    <row r="105">
      <c r="A105" s="146"/>
      <c r="B105" s="147"/>
      <c r="C105" s="147"/>
      <c r="D105" s="148"/>
      <c r="E105" s="147"/>
      <c r="F105" s="147"/>
      <c r="G105" s="147"/>
      <c r="H105" s="146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6"/>
    </row>
    <row r="106">
      <c r="A106" s="146"/>
      <c r="B106" s="147"/>
      <c r="C106" s="147"/>
      <c r="D106" s="148"/>
      <c r="E106" s="147"/>
      <c r="F106" s="147"/>
      <c r="G106" s="147"/>
      <c r="H106" s="146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6"/>
    </row>
    <row r="107">
      <c r="A107" s="146"/>
      <c r="B107" s="147"/>
      <c r="C107" s="147"/>
      <c r="D107" s="148"/>
      <c r="E107" s="147"/>
      <c r="F107" s="147"/>
      <c r="G107" s="147"/>
      <c r="H107" s="146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6"/>
    </row>
    <row r="108">
      <c r="A108" s="146"/>
      <c r="B108" s="147"/>
      <c r="C108" s="147"/>
      <c r="D108" s="148"/>
      <c r="E108" s="147"/>
      <c r="F108" s="147"/>
      <c r="G108" s="147"/>
      <c r="H108" s="146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6"/>
    </row>
    <row r="109">
      <c r="A109" s="146"/>
      <c r="B109" s="147"/>
      <c r="C109" s="147"/>
      <c r="D109" s="148"/>
      <c r="E109" s="147"/>
      <c r="F109" s="147"/>
      <c r="G109" s="147"/>
      <c r="H109" s="146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6"/>
    </row>
    <row r="110">
      <c r="A110" s="146"/>
      <c r="B110" s="147"/>
      <c r="C110" s="147"/>
      <c r="D110" s="148"/>
      <c r="E110" s="147"/>
      <c r="F110" s="147"/>
      <c r="G110" s="147"/>
      <c r="H110" s="146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6"/>
    </row>
    <row r="111">
      <c r="A111" s="146"/>
      <c r="B111" s="147"/>
      <c r="C111" s="147"/>
      <c r="D111" s="148"/>
      <c r="E111" s="147"/>
      <c r="F111" s="147"/>
      <c r="G111" s="147"/>
      <c r="H111" s="146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6"/>
    </row>
    <row r="112">
      <c r="A112" s="146"/>
      <c r="B112" s="147"/>
      <c r="C112" s="147"/>
      <c r="D112" s="148"/>
      <c r="E112" s="147"/>
      <c r="F112" s="147"/>
      <c r="G112" s="147"/>
      <c r="H112" s="146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6"/>
    </row>
    <row r="113">
      <c r="A113" s="146"/>
      <c r="B113" s="147"/>
      <c r="C113" s="147"/>
      <c r="D113" s="148"/>
      <c r="E113" s="147"/>
      <c r="F113" s="147"/>
      <c r="G113" s="147"/>
      <c r="H113" s="146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6"/>
    </row>
    <row r="114">
      <c r="A114" s="146"/>
      <c r="B114" s="147"/>
      <c r="C114" s="147"/>
      <c r="D114" s="148"/>
      <c r="E114" s="147"/>
      <c r="F114" s="147"/>
      <c r="G114" s="147"/>
      <c r="H114" s="146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6"/>
    </row>
    <row r="115">
      <c r="A115" s="146"/>
      <c r="B115" s="147"/>
      <c r="C115" s="147"/>
      <c r="D115" s="148"/>
      <c r="E115" s="147"/>
      <c r="F115" s="147"/>
      <c r="G115" s="147"/>
      <c r="H115" s="146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6"/>
    </row>
    <row r="116">
      <c r="A116" s="146"/>
      <c r="B116" s="147"/>
      <c r="C116" s="147"/>
      <c r="D116" s="148"/>
      <c r="E116" s="147"/>
      <c r="F116" s="147"/>
      <c r="G116" s="147"/>
      <c r="H116" s="146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6"/>
    </row>
    <row r="117">
      <c r="A117" s="146"/>
      <c r="B117" s="147"/>
      <c r="C117" s="147"/>
      <c r="D117" s="148"/>
      <c r="E117" s="147"/>
      <c r="F117" s="147"/>
      <c r="G117" s="147"/>
      <c r="H117" s="146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6"/>
    </row>
    <row r="118">
      <c r="A118" s="146"/>
      <c r="B118" s="147"/>
      <c r="C118" s="147"/>
      <c r="D118" s="148"/>
      <c r="E118" s="147"/>
      <c r="F118" s="147"/>
      <c r="G118" s="147"/>
      <c r="H118" s="146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6"/>
    </row>
    <row r="119">
      <c r="A119" s="146"/>
      <c r="B119" s="147"/>
      <c r="C119" s="147"/>
      <c r="D119" s="148"/>
      <c r="E119" s="147"/>
      <c r="F119" s="147"/>
      <c r="G119" s="147"/>
      <c r="H119" s="146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6"/>
    </row>
    <row r="120">
      <c r="A120" s="146"/>
      <c r="B120" s="147"/>
      <c r="C120" s="147"/>
      <c r="D120" s="148"/>
      <c r="E120" s="147"/>
      <c r="F120" s="147"/>
      <c r="G120" s="147"/>
      <c r="H120" s="146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6"/>
    </row>
    <row r="121">
      <c r="A121" s="146"/>
      <c r="B121" s="147"/>
      <c r="C121" s="147"/>
      <c r="D121" s="148"/>
      <c r="E121" s="147"/>
      <c r="F121" s="147"/>
      <c r="G121" s="147"/>
      <c r="H121" s="146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6"/>
    </row>
    <row r="122">
      <c r="A122" s="146"/>
      <c r="B122" s="147"/>
      <c r="C122" s="147"/>
      <c r="D122" s="148"/>
      <c r="E122" s="147"/>
      <c r="F122" s="147"/>
      <c r="G122" s="147"/>
      <c r="H122" s="146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6"/>
    </row>
    <row r="123">
      <c r="A123" s="146"/>
      <c r="B123" s="147"/>
      <c r="C123" s="147"/>
      <c r="D123" s="148"/>
      <c r="E123" s="147"/>
      <c r="F123" s="147"/>
      <c r="G123" s="147"/>
      <c r="H123" s="146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6"/>
    </row>
    <row r="124">
      <c r="A124" s="146"/>
      <c r="B124" s="147"/>
      <c r="C124" s="147"/>
      <c r="D124" s="148"/>
      <c r="E124" s="147"/>
      <c r="F124" s="147"/>
      <c r="G124" s="147"/>
      <c r="H124" s="146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6"/>
    </row>
    <row r="125">
      <c r="A125" s="146"/>
      <c r="B125" s="147"/>
      <c r="C125" s="147"/>
      <c r="D125" s="148"/>
      <c r="E125" s="147"/>
      <c r="F125" s="147"/>
      <c r="G125" s="147"/>
      <c r="H125" s="146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6"/>
    </row>
    <row r="126">
      <c r="A126" s="146"/>
      <c r="B126" s="147"/>
      <c r="C126" s="147"/>
      <c r="D126" s="148"/>
      <c r="E126" s="147"/>
      <c r="F126" s="147"/>
      <c r="G126" s="147"/>
      <c r="H126" s="146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6"/>
    </row>
    <row r="127">
      <c r="A127" s="146"/>
      <c r="B127" s="147"/>
      <c r="C127" s="147"/>
      <c r="D127" s="148"/>
      <c r="E127" s="147"/>
      <c r="F127" s="147"/>
      <c r="G127" s="147"/>
      <c r="H127" s="146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6"/>
    </row>
    <row r="128">
      <c r="A128" s="146"/>
      <c r="B128" s="147"/>
      <c r="C128" s="147"/>
      <c r="D128" s="148"/>
      <c r="E128" s="147"/>
      <c r="F128" s="147"/>
      <c r="G128" s="147"/>
      <c r="H128" s="146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6"/>
    </row>
    <row r="129">
      <c r="A129" s="146"/>
      <c r="B129" s="147"/>
      <c r="C129" s="147"/>
      <c r="D129" s="148"/>
      <c r="E129" s="147"/>
      <c r="F129" s="147"/>
      <c r="G129" s="147"/>
      <c r="H129" s="146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6"/>
    </row>
    <row r="130">
      <c r="A130" s="146"/>
      <c r="B130" s="147"/>
      <c r="C130" s="147"/>
      <c r="D130" s="148"/>
      <c r="E130" s="147"/>
      <c r="F130" s="147"/>
      <c r="G130" s="147"/>
      <c r="H130" s="146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6"/>
    </row>
    <row r="131">
      <c r="A131" s="146"/>
      <c r="B131" s="147"/>
      <c r="C131" s="147"/>
      <c r="D131" s="148"/>
      <c r="E131" s="147"/>
      <c r="F131" s="147"/>
      <c r="G131" s="147"/>
      <c r="H131" s="146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6"/>
    </row>
    <row r="132">
      <c r="A132" s="146"/>
      <c r="B132" s="147"/>
      <c r="C132" s="147"/>
      <c r="D132" s="148"/>
      <c r="E132" s="147"/>
      <c r="F132" s="147"/>
      <c r="G132" s="147"/>
      <c r="H132" s="146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6"/>
    </row>
    <row r="133">
      <c r="A133" s="146"/>
      <c r="B133" s="147"/>
      <c r="C133" s="147"/>
      <c r="D133" s="148"/>
      <c r="E133" s="147"/>
      <c r="F133" s="147"/>
      <c r="G133" s="147"/>
      <c r="H133" s="146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6"/>
    </row>
    <row r="134">
      <c r="A134" s="146"/>
      <c r="B134" s="147"/>
      <c r="C134" s="147"/>
      <c r="D134" s="148"/>
      <c r="E134" s="147"/>
      <c r="F134" s="147"/>
      <c r="G134" s="147"/>
      <c r="H134" s="146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6"/>
    </row>
    <row r="135">
      <c r="A135" s="146"/>
      <c r="B135" s="147"/>
      <c r="C135" s="147"/>
      <c r="D135" s="148"/>
      <c r="E135" s="147"/>
      <c r="F135" s="147"/>
      <c r="G135" s="147"/>
      <c r="H135" s="146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6"/>
    </row>
    <row r="136">
      <c r="A136" s="146"/>
      <c r="B136" s="147"/>
      <c r="C136" s="147"/>
      <c r="D136" s="148"/>
      <c r="E136" s="147"/>
      <c r="F136" s="147"/>
      <c r="G136" s="147"/>
      <c r="H136" s="146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6"/>
    </row>
    <row r="137">
      <c r="A137" s="146"/>
      <c r="B137" s="147"/>
      <c r="C137" s="147"/>
      <c r="D137" s="148"/>
      <c r="E137" s="147"/>
      <c r="F137" s="147"/>
      <c r="G137" s="147"/>
      <c r="H137" s="146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6"/>
    </row>
    <row r="138">
      <c r="A138" s="146"/>
      <c r="B138" s="147"/>
      <c r="C138" s="147"/>
      <c r="D138" s="148"/>
      <c r="E138" s="147"/>
      <c r="F138" s="147"/>
      <c r="G138" s="147"/>
      <c r="H138" s="146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6"/>
    </row>
    <row r="139">
      <c r="A139" s="146"/>
      <c r="B139" s="147"/>
      <c r="C139" s="147"/>
      <c r="D139" s="148"/>
      <c r="E139" s="147"/>
      <c r="F139" s="147"/>
      <c r="G139" s="147"/>
      <c r="H139" s="146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6"/>
    </row>
    <row r="140">
      <c r="A140" s="146"/>
      <c r="B140" s="147"/>
      <c r="C140" s="147"/>
      <c r="D140" s="148"/>
      <c r="E140" s="147"/>
      <c r="F140" s="147"/>
      <c r="G140" s="147"/>
      <c r="H140" s="146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6"/>
    </row>
    <row r="141">
      <c r="A141" s="146"/>
      <c r="B141" s="147"/>
      <c r="C141" s="147"/>
      <c r="D141" s="148"/>
      <c r="E141" s="147"/>
      <c r="F141" s="147"/>
      <c r="G141" s="147"/>
      <c r="H141" s="146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6"/>
    </row>
    <row r="142">
      <c r="A142" s="146"/>
      <c r="B142" s="147"/>
      <c r="C142" s="147"/>
      <c r="D142" s="148"/>
      <c r="E142" s="147"/>
      <c r="F142" s="147"/>
      <c r="G142" s="147"/>
      <c r="H142" s="146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6"/>
    </row>
    <row r="143">
      <c r="A143" s="146"/>
      <c r="B143" s="147"/>
      <c r="C143" s="147"/>
      <c r="D143" s="148"/>
      <c r="E143" s="147"/>
      <c r="F143" s="147"/>
      <c r="G143" s="147"/>
      <c r="H143" s="146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6"/>
    </row>
    <row r="144">
      <c r="A144" s="146"/>
      <c r="B144" s="147"/>
      <c r="C144" s="147"/>
      <c r="D144" s="148"/>
      <c r="E144" s="147"/>
      <c r="F144" s="147"/>
      <c r="G144" s="147"/>
      <c r="H144" s="146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6"/>
    </row>
    <row r="145">
      <c r="A145" s="146"/>
      <c r="B145" s="147"/>
      <c r="C145" s="147"/>
      <c r="D145" s="148"/>
      <c r="E145" s="147"/>
      <c r="F145" s="147"/>
      <c r="G145" s="147"/>
      <c r="H145" s="146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6"/>
    </row>
    <row r="146">
      <c r="A146" s="146"/>
      <c r="B146" s="147"/>
      <c r="C146" s="147"/>
      <c r="D146" s="148"/>
      <c r="E146" s="147"/>
      <c r="F146" s="147"/>
      <c r="G146" s="147"/>
      <c r="H146" s="146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6"/>
    </row>
    <row r="147">
      <c r="A147" s="146"/>
      <c r="B147" s="147"/>
      <c r="C147" s="147"/>
      <c r="D147" s="148"/>
      <c r="E147" s="147"/>
      <c r="F147" s="147"/>
      <c r="G147" s="147"/>
      <c r="H147" s="146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6"/>
    </row>
    <row r="148">
      <c r="A148" s="146"/>
      <c r="B148" s="147"/>
      <c r="C148" s="147"/>
      <c r="D148" s="148"/>
      <c r="E148" s="147"/>
      <c r="F148" s="147"/>
      <c r="G148" s="147"/>
      <c r="H148" s="146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6"/>
    </row>
    <row r="149">
      <c r="A149" s="146"/>
      <c r="B149" s="147"/>
      <c r="C149" s="147"/>
      <c r="D149" s="148"/>
      <c r="E149" s="147"/>
      <c r="F149" s="147"/>
      <c r="G149" s="147"/>
      <c r="H149" s="146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6"/>
    </row>
    <row r="150">
      <c r="A150" s="146"/>
      <c r="B150" s="147"/>
      <c r="C150" s="147"/>
      <c r="D150" s="148"/>
      <c r="E150" s="147"/>
      <c r="F150" s="147"/>
      <c r="G150" s="147"/>
      <c r="H150" s="146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6"/>
    </row>
    <row r="151">
      <c r="A151" s="146"/>
      <c r="B151" s="147"/>
      <c r="C151" s="147"/>
      <c r="D151" s="148"/>
      <c r="E151" s="147"/>
      <c r="F151" s="147"/>
      <c r="G151" s="147"/>
      <c r="H151" s="146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6"/>
    </row>
    <row r="152">
      <c r="A152" s="146"/>
      <c r="B152" s="147"/>
      <c r="C152" s="147"/>
      <c r="D152" s="148"/>
      <c r="E152" s="147"/>
      <c r="F152" s="147"/>
      <c r="G152" s="147"/>
      <c r="H152" s="146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6"/>
    </row>
    <row r="153">
      <c r="A153" s="146"/>
      <c r="B153" s="147"/>
      <c r="C153" s="147"/>
      <c r="D153" s="148"/>
      <c r="E153" s="147"/>
      <c r="F153" s="147"/>
      <c r="G153" s="147"/>
      <c r="H153" s="146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6"/>
    </row>
    <row r="154">
      <c r="A154" s="146"/>
      <c r="B154" s="147"/>
      <c r="C154" s="147"/>
      <c r="D154" s="148"/>
      <c r="E154" s="147"/>
      <c r="F154" s="147"/>
      <c r="G154" s="147"/>
      <c r="H154" s="146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6"/>
    </row>
    <row r="155">
      <c r="A155" s="146"/>
      <c r="B155" s="147"/>
      <c r="C155" s="147"/>
      <c r="D155" s="148"/>
      <c r="E155" s="147"/>
      <c r="F155" s="147"/>
      <c r="G155" s="147"/>
      <c r="H155" s="146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6"/>
    </row>
    <row r="156">
      <c r="A156" s="146"/>
      <c r="B156" s="147"/>
      <c r="C156" s="147"/>
      <c r="D156" s="148"/>
      <c r="E156" s="147"/>
      <c r="F156" s="147"/>
      <c r="G156" s="147"/>
      <c r="H156" s="146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6"/>
    </row>
    <row r="157">
      <c r="A157" s="146"/>
      <c r="B157" s="147"/>
      <c r="C157" s="147"/>
      <c r="D157" s="148"/>
      <c r="E157" s="147"/>
      <c r="F157" s="147"/>
      <c r="G157" s="147"/>
      <c r="H157" s="146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6"/>
    </row>
    <row r="158">
      <c r="A158" s="146"/>
      <c r="B158" s="147"/>
      <c r="C158" s="147"/>
      <c r="D158" s="148"/>
      <c r="E158" s="147"/>
      <c r="F158" s="147"/>
      <c r="G158" s="147"/>
      <c r="H158" s="146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6"/>
    </row>
    <row r="159">
      <c r="A159" s="146"/>
      <c r="B159" s="147"/>
      <c r="C159" s="147"/>
      <c r="D159" s="148"/>
      <c r="E159" s="147"/>
      <c r="F159" s="147"/>
      <c r="G159" s="147"/>
      <c r="H159" s="146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6"/>
    </row>
    <row r="160">
      <c r="A160" s="146"/>
      <c r="B160" s="147"/>
      <c r="C160" s="147"/>
      <c r="D160" s="148"/>
      <c r="E160" s="147"/>
      <c r="F160" s="147"/>
      <c r="G160" s="147"/>
      <c r="H160" s="146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6"/>
    </row>
    <row r="161">
      <c r="A161" s="146"/>
      <c r="B161" s="147"/>
      <c r="C161" s="147"/>
      <c r="D161" s="148"/>
      <c r="E161" s="147"/>
      <c r="F161" s="147"/>
      <c r="G161" s="147"/>
      <c r="H161" s="146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6"/>
    </row>
    <row r="162">
      <c r="A162" s="146"/>
      <c r="B162" s="147"/>
      <c r="C162" s="147"/>
      <c r="D162" s="148"/>
      <c r="E162" s="147"/>
      <c r="F162" s="147"/>
      <c r="G162" s="147"/>
      <c r="H162" s="146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6"/>
    </row>
    <row r="163">
      <c r="A163" s="146"/>
      <c r="B163" s="147"/>
      <c r="C163" s="147"/>
      <c r="D163" s="148"/>
      <c r="E163" s="147"/>
      <c r="F163" s="147"/>
      <c r="G163" s="147"/>
      <c r="H163" s="146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6"/>
    </row>
    <row r="164">
      <c r="A164" s="146"/>
      <c r="B164" s="147"/>
      <c r="C164" s="147"/>
      <c r="D164" s="148"/>
      <c r="E164" s="147"/>
      <c r="F164" s="147"/>
      <c r="G164" s="147"/>
      <c r="H164" s="146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6"/>
    </row>
    <row r="165">
      <c r="A165" s="146"/>
      <c r="B165" s="147"/>
      <c r="C165" s="147"/>
      <c r="D165" s="148"/>
      <c r="E165" s="147"/>
      <c r="F165" s="147"/>
      <c r="G165" s="147"/>
      <c r="H165" s="146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6"/>
    </row>
    <row r="166">
      <c r="A166" s="146"/>
      <c r="B166" s="147"/>
      <c r="C166" s="147"/>
      <c r="D166" s="148"/>
      <c r="E166" s="147"/>
      <c r="F166" s="147"/>
      <c r="G166" s="147"/>
      <c r="H166" s="146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6"/>
    </row>
    <row r="167">
      <c r="A167" s="146"/>
      <c r="B167" s="147"/>
      <c r="C167" s="147"/>
      <c r="D167" s="148"/>
      <c r="E167" s="147"/>
      <c r="F167" s="147"/>
      <c r="G167" s="147"/>
      <c r="H167" s="146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6"/>
    </row>
    <row r="168">
      <c r="A168" s="146"/>
      <c r="B168" s="147"/>
      <c r="C168" s="147"/>
      <c r="D168" s="148"/>
      <c r="E168" s="147"/>
      <c r="F168" s="147"/>
      <c r="G168" s="147"/>
      <c r="H168" s="146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6"/>
    </row>
    <row r="169">
      <c r="A169" s="146"/>
      <c r="B169" s="147"/>
      <c r="C169" s="147"/>
      <c r="D169" s="148"/>
      <c r="E169" s="147"/>
      <c r="F169" s="147"/>
      <c r="G169" s="147"/>
      <c r="H169" s="146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6"/>
    </row>
    <row r="170">
      <c r="A170" s="146"/>
      <c r="B170" s="147"/>
      <c r="C170" s="147"/>
      <c r="D170" s="148"/>
      <c r="E170" s="147"/>
      <c r="F170" s="147"/>
      <c r="G170" s="147"/>
      <c r="H170" s="146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6"/>
    </row>
    <row r="171">
      <c r="A171" s="146"/>
      <c r="B171" s="147"/>
      <c r="C171" s="147"/>
      <c r="D171" s="148"/>
      <c r="E171" s="147"/>
      <c r="F171" s="147"/>
      <c r="G171" s="147"/>
      <c r="H171" s="146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6"/>
    </row>
    <row r="172">
      <c r="A172" s="146"/>
      <c r="B172" s="147"/>
      <c r="C172" s="147"/>
      <c r="D172" s="148"/>
      <c r="E172" s="147"/>
      <c r="F172" s="147"/>
      <c r="G172" s="147"/>
      <c r="H172" s="146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6"/>
    </row>
    <row r="173">
      <c r="A173" s="146"/>
      <c r="B173" s="147"/>
      <c r="C173" s="147"/>
      <c r="D173" s="148"/>
      <c r="E173" s="147"/>
      <c r="F173" s="147"/>
      <c r="G173" s="147"/>
      <c r="H173" s="146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6"/>
    </row>
    <row r="174">
      <c r="A174" s="146"/>
      <c r="B174" s="147"/>
      <c r="C174" s="147"/>
      <c r="D174" s="148"/>
      <c r="E174" s="147"/>
      <c r="F174" s="147"/>
      <c r="G174" s="147"/>
      <c r="H174" s="146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6"/>
    </row>
    <row r="175">
      <c r="A175" s="146"/>
      <c r="B175" s="147"/>
      <c r="C175" s="147"/>
      <c r="D175" s="148"/>
      <c r="E175" s="147"/>
      <c r="F175" s="147"/>
      <c r="G175" s="147"/>
      <c r="H175" s="146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6"/>
    </row>
    <row r="176">
      <c r="A176" s="146"/>
      <c r="B176" s="147"/>
      <c r="C176" s="147"/>
      <c r="D176" s="148"/>
      <c r="E176" s="147"/>
      <c r="F176" s="147"/>
      <c r="G176" s="147"/>
      <c r="H176" s="146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6"/>
    </row>
    <row r="177">
      <c r="A177" s="146"/>
      <c r="B177" s="147"/>
      <c r="C177" s="147"/>
      <c r="D177" s="148"/>
      <c r="E177" s="147"/>
      <c r="F177" s="147"/>
      <c r="G177" s="147"/>
      <c r="H177" s="146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6"/>
    </row>
    <row r="178">
      <c r="A178" s="146"/>
      <c r="B178" s="147"/>
      <c r="C178" s="147"/>
      <c r="D178" s="148"/>
      <c r="E178" s="147"/>
      <c r="F178" s="147"/>
      <c r="G178" s="147"/>
      <c r="H178" s="146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6"/>
    </row>
    <row r="179">
      <c r="A179" s="146"/>
      <c r="B179" s="147"/>
      <c r="C179" s="147"/>
      <c r="D179" s="148"/>
      <c r="E179" s="147"/>
      <c r="F179" s="147"/>
      <c r="G179" s="147"/>
      <c r="H179" s="146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6"/>
    </row>
    <row r="180">
      <c r="A180" s="146"/>
      <c r="B180" s="147"/>
      <c r="C180" s="147"/>
      <c r="D180" s="148"/>
      <c r="E180" s="147"/>
      <c r="F180" s="147"/>
      <c r="G180" s="147"/>
      <c r="H180" s="146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6"/>
    </row>
    <row r="181">
      <c r="A181" s="146"/>
      <c r="B181" s="147"/>
      <c r="C181" s="147"/>
      <c r="D181" s="148"/>
      <c r="E181" s="147"/>
      <c r="F181" s="147"/>
      <c r="G181" s="147"/>
      <c r="H181" s="146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6"/>
    </row>
    <row r="182">
      <c r="A182" s="146"/>
      <c r="B182" s="147"/>
      <c r="C182" s="147"/>
      <c r="D182" s="148"/>
      <c r="E182" s="147"/>
      <c r="F182" s="147"/>
      <c r="G182" s="147"/>
      <c r="H182" s="146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6"/>
    </row>
    <row r="183">
      <c r="A183" s="146"/>
      <c r="B183" s="147"/>
      <c r="C183" s="147"/>
      <c r="D183" s="148"/>
      <c r="E183" s="147"/>
      <c r="F183" s="147"/>
      <c r="G183" s="147"/>
      <c r="H183" s="146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6"/>
    </row>
    <row r="184">
      <c r="A184" s="146"/>
      <c r="B184" s="147"/>
      <c r="C184" s="147"/>
      <c r="D184" s="148"/>
      <c r="E184" s="147"/>
      <c r="F184" s="147"/>
      <c r="G184" s="147"/>
      <c r="H184" s="146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6"/>
    </row>
    <row r="185">
      <c r="A185" s="146"/>
      <c r="B185" s="147"/>
      <c r="C185" s="147"/>
      <c r="D185" s="148"/>
      <c r="E185" s="147"/>
      <c r="F185" s="147"/>
      <c r="G185" s="147"/>
      <c r="H185" s="146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6"/>
    </row>
    <row r="186">
      <c r="A186" s="146"/>
      <c r="B186" s="147"/>
      <c r="C186" s="147"/>
      <c r="D186" s="148"/>
      <c r="E186" s="147"/>
      <c r="F186" s="147"/>
      <c r="G186" s="147"/>
      <c r="H186" s="146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6"/>
    </row>
    <row r="187">
      <c r="A187" s="146"/>
      <c r="B187" s="147"/>
      <c r="C187" s="147"/>
      <c r="D187" s="148"/>
      <c r="E187" s="147"/>
      <c r="F187" s="147"/>
      <c r="G187" s="147"/>
      <c r="H187" s="146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6"/>
    </row>
    <row r="188">
      <c r="A188" s="146"/>
      <c r="B188" s="147"/>
      <c r="C188" s="147"/>
      <c r="D188" s="148"/>
      <c r="E188" s="147"/>
      <c r="F188" s="147"/>
      <c r="G188" s="147"/>
      <c r="H188" s="146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6"/>
    </row>
    <row r="189">
      <c r="A189" s="146"/>
      <c r="B189" s="147"/>
      <c r="C189" s="147"/>
      <c r="D189" s="148"/>
      <c r="E189" s="147"/>
      <c r="F189" s="147"/>
      <c r="G189" s="147"/>
      <c r="H189" s="146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6"/>
    </row>
    <row r="190">
      <c r="A190" s="146"/>
      <c r="B190" s="147"/>
      <c r="C190" s="147"/>
      <c r="D190" s="148"/>
      <c r="E190" s="147"/>
      <c r="F190" s="147"/>
      <c r="G190" s="147"/>
      <c r="H190" s="146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6"/>
    </row>
    <row r="191">
      <c r="A191" s="146"/>
      <c r="B191" s="147"/>
      <c r="C191" s="147"/>
      <c r="D191" s="148"/>
      <c r="E191" s="147"/>
      <c r="F191" s="147"/>
      <c r="G191" s="147"/>
      <c r="H191" s="146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6"/>
    </row>
    <row r="192">
      <c r="A192" s="146"/>
      <c r="B192" s="147"/>
      <c r="C192" s="147"/>
      <c r="D192" s="148"/>
      <c r="E192" s="147"/>
      <c r="F192" s="147"/>
      <c r="G192" s="147"/>
      <c r="H192" s="146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6"/>
    </row>
    <row r="193">
      <c r="A193" s="146"/>
      <c r="B193" s="147"/>
      <c r="C193" s="147"/>
      <c r="D193" s="148"/>
      <c r="E193" s="147"/>
      <c r="F193" s="147"/>
      <c r="G193" s="147"/>
      <c r="H193" s="146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6"/>
    </row>
    <row r="194">
      <c r="A194" s="146"/>
      <c r="B194" s="147"/>
      <c r="C194" s="147"/>
      <c r="D194" s="148"/>
      <c r="E194" s="147"/>
      <c r="F194" s="147"/>
      <c r="G194" s="147"/>
      <c r="H194" s="146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6"/>
    </row>
    <row r="195">
      <c r="A195" s="146"/>
      <c r="B195" s="147"/>
      <c r="C195" s="147"/>
      <c r="D195" s="148"/>
      <c r="E195" s="147"/>
      <c r="F195" s="147"/>
      <c r="G195" s="147"/>
      <c r="H195" s="146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6"/>
    </row>
    <row r="196">
      <c r="A196" s="146"/>
      <c r="B196" s="147"/>
      <c r="C196" s="147"/>
      <c r="D196" s="148"/>
      <c r="E196" s="147"/>
      <c r="F196" s="147"/>
      <c r="G196" s="147"/>
      <c r="H196" s="146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6"/>
    </row>
    <row r="197">
      <c r="A197" s="146"/>
      <c r="B197" s="147"/>
      <c r="C197" s="147"/>
      <c r="D197" s="148"/>
      <c r="E197" s="147"/>
      <c r="F197" s="147"/>
      <c r="G197" s="147"/>
      <c r="H197" s="146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6"/>
    </row>
    <row r="198">
      <c r="A198" s="146"/>
      <c r="B198" s="147"/>
      <c r="C198" s="147"/>
      <c r="D198" s="148"/>
      <c r="E198" s="147"/>
      <c r="F198" s="147"/>
      <c r="G198" s="147"/>
      <c r="H198" s="146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6"/>
    </row>
    <row r="199">
      <c r="A199" s="146"/>
      <c r="B199" s="147"/>
      <c r="C199" s="147"/>
      <c r="D199" s="148"/>
      <c r="E199" s="147"/>
      <c r="F199" s="147"/>
      <c r="G199" s="147"/>
      <c r="H199" s="146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6"/>
    </row>
    <row r="200">
      <c r="A200" s="146"/>
      <c r="B200" s="147"/>
      <c r="C200" s="147"/>
      <c r="D200" s="148"/>
      <c r="E200" s="147"/>
      <c r="F200" s="147"/>
      <c r="G200" s="147"/>
      <c r="H200" s="146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6"/>
    </row>
    <row r="201">
      <c r="A201" s="146"/>
      <c r="B201" s="147"/>
      <c r="C201" s="147"/>
      <c r="D201" s="148"/>
      <c r="E201" s="147"/>
      <c r="F201" s="147"/>
      <c r="G201" s="147"/>
      <c r="H201" s="146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6"/>
    </row>
    <row r="202">
      <c r="A202" s="146"/>
      <c r="B202" s="147"/>
      <c r="C202" s="147"/>
      <c r="D202" s="148"/>
      <c r="E202" s="147"/>
      <c r="F202" s="147"/>
      <c r="G202" s="147"/>
      <c r="H202" s="146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6"/>
    </row>
    <row r="203">
      <c r="A203" s="146"/>
      <c r="B203" s="147"/>
      <c r="C203" s="147"/>
      <c r="D203" s="148"/>
      <c r="E203" s="147"/>
      <c r="F203" s="147"/>
      <c r="G203" s="147"/>
      <c r="H203" s="146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6"/>
    </row>
    <row r="204">
      <c r="A204" s="146"/>
      <c r="B204" s="147"/>
      <c r="C204" s="147"/>
      <c r="D204" s="148"/>
      <c r="E204" s="147"/>
      <c r="F204" s="147"/>
      <c r="G204" s="147"/>
      <c r="H204" s="146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6"/>
    </row>
    <row r="205">
      <c r="A205" s="146"/>
      <c r="B205" s="147"/>
      <c r="C205" s="147"/>
      <c r="D205" s="148"/>
      <c r="E205" s="147"/>
      <c r="F205" s="147"/>
      <c r="G205" s="147"/>
      <c r="H205" s="146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6"/>
    </row>
    <row r="206">
      <c r="A206" s="146"/>
      <c r="B206" s="147"/>
      <c r="C206" s="147"/>
      <c r="D206" s="148"/>
      <c r="E206" s="147"/>
      <c r="F206" s="147"/>
      <c r="G206" s="147"/>
      <c r="H206" s="146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6"/>
    </row>
    <row r="207">
      <c r="A207" s="146"/>
      <c r="B207" s="147"/>
      <c r="C207" s="147"/>
      <c r="D207" s="148"/>
      <c r="E207" s="147"/>
      <c r="F207" s="147"/>
      <c r="G207" s="147"/>
      <c r="H207" s="146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6"/>
    </row>
    <row r="208">
      <c r="A208" s="146"/>
      <c r="B208" s="147"/>
      <c r="C208" s="147"/>
      <c r="D208" s="148"/>
      <c r="E208" s="147"/>
      <c r="F208" s="147"/>
      <c r="G208" s="147"/>
      <c r="H208" s="146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6"/>
    </row>
    <row r="209">
      <c r="A209" s="146"/>
      <c r="B209" s="147"/>
      <c r="C209" s="147"/>
      <c r="D209" s="148"/>
      <c r="E209" s="147"/>
      <c r="F209" s="147"/>
      <c r="G209" s="147"/>
      <c r="H209" s="146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6"/>
    </row>
    <row r="210">
      <c r="A210" s="146"/>
      <c r="B210" s="147"/>
      <c r="C210" s="147"/>
      <c r="D210" s="148"/>
      <c r="E210" s="147"/>
      <c r="F210" s="147"/>
      <c r="G210" s="147"/>
      <c r="H210" s="146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6"/>
    </row>
    <row r="211">
      <c r="A211" s="146"/>
      <c r="B211" s="147"/>
      <c r="C211" s="147"/>
      <c r="D211" s="148"/>
      <c r="E211" s="147"/>
      <c r="F211" s="147"/>
      <c r="G211" s="147"/>
      <c r="H211" s="146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6"/>
    </row>
    <row r="212">
      <c r="A212" s="146"/>
      <c r="B212" s="147"/>
      <c r="C212" s="147"/>
      <c r="D212" s="148"/>
      <c r="E212" s="147"/>
      <c r="F212" s="147"/>
      <c r="G212" s="147"/>
      <c r="H212" s="146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6"/>
    </row>
    <row r="213">
      <c r="A213" s="146"/>
      <c r="B213" s="147"/>
      <c r="C213" s="147"/>
      <c r="D213" s="148"/>
      <c r="E213" s="147"/>
      <c r="F213" s="147"/>
      <c r="G213" s="147"/>
      <c r="H213" s="146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6"/>
    </row>
    <row r="214">
      <c r="A214" s="146"/>
      <c r="B214" s="147"/>
      <c r="C214" s="147"/>
      <c r="D214" s="148"/>
      <c r="E214" s="147"/>
      <c r="F214" s="147"/>
      <c r="G214" s="147"/>
      <c r="H214" s="146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6"/>
    </row>
    <row r="215">
      <c r="A215" s="146"/>
      <c r="B215" s="147"/>
      <c r="C215" s="147"/>
      <c r="D215" s="148"/>
      <c r="E215" s="147"/>
      <c r="F215" s="147"/>
      <c r="G215" s="147"/>
      <c r="H215" s="146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6"/>
    </row>
    <row r="216">
      <c r="A216" s="146"/>
      <c r="B216" s="147"/>
      <c r="C216" s="147"/>
      <c r="D216" s="148"/>
      <c r="E216" s="147"/>
      <c r="F216" s="147"/>
      <c r="G216" s="147"/>
      <c r="H216" s="146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6"/>
    </row>
    <row r="217">
      <c r="A217" s="146"/>
      <c r="B217" s="147"/>
      <c r="C217" s="147"/>
      <c r="D217" s="148"/>
      <c r="E217" s="147"/>
      <c r="F217" s="147"/>
      <c r="G217" s="147"/>
      <c r="H217" s="146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6"/>
    </row>
    <row r="218">
      <c r="A218" s="146"/>
      <c r="B218" s="147"/>
      <c r="C218" s="147"/>
      <c r="D218" s="148"/>
      <c r="E218" s="147"/>
      <c r="F218" s="147"/>
      <c r="G218" s="147"/>
      <c r="H218" s="146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6"/>
    </row>
    <row r="219">
      <c r="A219" s="146"/>
      <c r="B219" s="147"/>
      <c r="C219" s="147"/>
      <c r="D219" s="148"/>
      <c r="E219" s="147"/>
      <c r="F219" s="147"/>
      <c r="G219" s="147"/>
      <c r="H219" s="146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6"/>
    </row>
    <row r="220">
      <c r="A220" s="146"/>
      <c r="B220" s="147"/>
      <c r="C220" s="147"/>
      <c r="D220" s="148"/>
      <c r="E220" s="147"/>
      <c r="F220" s="147"/>
      <c r="G220" s="147"/>
      <c r="H220" s="146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6"/>
    </row>
    <row r="221">
      <c r="A221" s="146"/>
      <c r="B221" s="147"/>
      <c r="C221" s="147"/>
      <c r="D221" s="148"/>
      <c r="E221" s="147"/>
      <c r="F221" s="147"/>
      <c r="G221" s="147"/>
      <c r="H221" s="146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6"/>
    </row>
    <row r="222">
      <c r="A222" s="146"/>
      <c r="B222" s="147"/>
      <c r="C222" s="147"/>
      <c r="D222" s="148"/>
      <c r="E222" s="147"/>
      <c r="F222" s="147"/>
      <c r="G222" s="147"/>
      <c r="H222" s="146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6"/>
    </row>
    <row r="223">
      <c r="A223" s="146"/>
      <c r="B223" s="147"/>
      <c r="C223" s="147"/>
      <c r="D223" s="148"/>
      <c r="E223" s="147"/>
      <c r="F223" s="147"/>
      <c r="G223" s="147"/>
      <c r="H223" s="146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6"/>
    </row>
    <row r="224">
      <c r="A224" s="146"/>
      <c r="B224" s="147"/>
      <c r="C224" s="147"/>
      <c r="D224" s="148"/>
      <c r="E224" s="147"/>
      <c r="F224" s="147"/>
      <c r="G224" s="147"/>
      <c r="H224" s="146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6"/>
    </row>
    <row r="225">
      <c r="A225" s="146"/>
      <c r="B225" s="147"/>
      <c r="C225" s="147"/>
      <c r="D225" s="148"/>
      <c r="E225" s="147"/>
      <c r="F225" s="147"/>
      <c r="G225" s="147"/>
      <c r="H225" s="146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6"/>
    </row>
    <row r="226">
      <c r="A226" s="146"/>
      <c r="B226" s="147"/>
      <c r="C226" s="147"/>
      <c r="D226" s="148"/>
      <c r="E226" s="147"/>
      <c r="F226" s="147"/>
      <c r="G226" s="147"/>
      <c r="H226" s="146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6"/>
    </row>
    <row r="227">
      <c r="A227" s="146"/>
      <c r="B227" s="147"/>
      <c r="C227" s="147"/>
      <c r="D227" s="148"/>
      <c r="E227" s="147"/>
      <c r="F227" s="147"/>
      <c r="G227" s="147"/>
      <c r="H227" s="146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6"/>
    </row>
    <row r="228">
      <c r="A228" s="146"/>
      <c r="B228" s="147"/>
      <c r="C228" s="147"/>
      <c r="D228" s="148"/>
      <c r="E228" s="147"/>
      <c r="F228" s="147"/>
      <c r="G228" s="147"/>
      <c r="H228" s="146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6"/>
    </row>
    <row r="229">
      <c r="A229" s="146"/>
      <c r="B229" s="147"/>
      <c r="C229" s="147"/>
      <c r="D229" s="148"/>
      <c r="E229" s="147"/>
      <c r="F229" s="147"/>
      <c r="G229" s="147"/>
      <c r="H229" s="146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6"/>
    </row>
    <row r="230">
      <c r="A230" s="146"/>
      <c r="B230" s="147"/>
      <c r="C230" s="147"/>
      <c r="D230" s="148"/>
      <c r="E230" s="147"/>
      <c r="F230" s="147"/>
      <c r="G230" s="147"/>
      <c r="H230" s="146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6"/>
    </row>
    <row r="231">
      <c r="A231" s="146"/>
      <c r="B231" s="147"/>
      <c r="C231" s="147"/>
      <c r="D231" s="148"/>
      <c r="E231" s="147"/>
      <c r="F231" s="147"/>
      <c r="G231" s="147"/>
      <c r="H231" s="146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6"/>
    </row>
    <row r="232">
      <c r="A232" s="146"/>
      <c r="B232" s="147"/>
      <c r="C232" s="147"/>
      <c r="D232" s="148"/>
      <c r="E232" s="147"/>
      <c r="F232" s="147"/>
      <c r="G232" s="147"/>
      <c r="H232" s="146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6"/>
    </row>
    <row r="233">
      <c r="A233" s="146"/>
      <c r="B233" s="147"/>
      <c r="C233" s="147"/>
      <c r="D233" s="148"/>
      <c r="E233" s="147"/>
      <c r="F233" s="147"/>
      <c r="G233" s="147"/>
      <c r="H233" s="146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6"/>
    </row>
    <row r="234">
      <c r="A234" s="146"/>
      <c r="B234" s="147"/>
      <c r="C234" s="147"/>
      <c r="D234" s="148"/>
      <c r="E234" s="147"/>
      <c r="F234" s="147"/>
      <c r="G234" s="147"/>
      <c r="H234" s="146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6"/>
    </row>
    <row r="235">
      <c r="A235" s="146"/>
      <c r="B235" s="147"/>
      <c r="C235" s="147"/>
      <c r="D235" s="148"/>
      <c r="E235" s="147"/>
      <c r="F235" s="147"/>
      <c r="G235" s="147"/>
      <c r="H235" s="146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6"/>
    </row>
    <row r="236">
      <c r="A236" s="146"/>
      <c r="B236" s="147"/>
      <c r="C236" s="147"/>
      <c r="D236" s="148"/>
      <c r="E236" s="147"/>
      <c r="F236" s="147"/>
      <c r="G236" s="147"/>
      <c r="H236" s="146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6"/>
    </row>
    <row r="237">
      <c r="A237" s="146"/>
      <c r="B237" s="147"/>
      <c r="C237" s="147"/>
      <c r="D237" s="148"/>
      <c r="E237" s="147"/>
      <c r="F237" s="147"/>
      <c r="G237" s="147"/>
      <c r="H237" s="146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6"/>
    </row>
    <row r="238">
      <c r="A238" s="146"/>
      <c r="B238" s="147"/>
      <c r="C238" s="147"/>
      <c r="D238" s="148"/>
      <c r="E238" s="147"/>
      <c r="F238" s="147"/>
      <c r="G238" s="147"/>
      <c r="H238" s="146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6"/>
    </row>
    <row r="239">
      <c r="A239" s="146"/>
      <c r="B239" s="147"/>
      <c r="C239" s="147"/>
      <c r="D239" s="148"/>
      <c r="E239" s="147"/>
      <c r="F239" s="147"/>
      <c r="G239" s="147"/>
      <c r="H239" s="146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6"/>
    </row>
    <row r="240">
      <c r="A240" s="146"/>
      <c r="B240" s="147"/>
      <c r="C240" s="147"/>
      <c r="D240" s="148"/>
      <c r="E240" s="147"/>
      <c r="F240" s="147"/>
      <c r="G240" s="147"/>
      <c r="H240" s="146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6"/>
    </row>
    <row r="241">
      <c r="A241" s="146"/>
      <c r="B241" s="147"/>
      <c r="C241" s="147"/>
      <c r="D241" s="148"/>
      <c r="E241" s="147"/>
      <c r="F241" s="147"/>
      <c r="G241" s="147"/>
      <c r="H241" s="146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6"/>
    </row>
    <row r="242">
      <c r="A242" s="146"/>
      <c r="B242" s="147"/>
      <c r="C242" s="147"/>
      <c r="D242" s="148"/>
      <c r="E242" s="147"/>
      <c r="F242" s="147"/>
      <c r="G242" s="147"/>
      <c r="H242" s="146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6"/>
    </row>
    <row r="243">
      <c r="A243" s="146"/>
      <c r="B243" s="147"/>
      <c r="C243" s="147"/>
      <c r="D243" s="148"/>
      <c r="E243" s="147"/>
      <c r="F243" s="147"/>
      <c r="G243" s="147"/>
      <c r="H243" s="146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6"/>
    </row>
    <row r="244">
      <c r="A244" s="146"/>
      <c r="B244" s="147"/>
      <c r="C244" s="147"/>
      <c r="D244" s="148"/>
      <c r="E244" s="147"/>
      <c r="F244" s="147"/>
      <c r="G244" s="147"/>
      <c r="H244" s="146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6"/>
    </row>
    <row r="245">
      <c r="A245" s="146"/>
      <c r="B245" s="147"/>
      <c r="C245" s="147"/>
      <c r="D245" s="148"/>
      <c r="E245" s="147"/>
      <c r="F245" s="147"/>
      <c r="G245" s="147"/>
      <c r="H245" s="146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6"/>
    </row>
    <row r="246">
      <c r="A246" s="146"/>
      <c r="B246" s="147"/>
      <c r="C246" s="147"/>
      <c r="D246" s="148"/>
      <c r="E246" s="147"/>
      <c r="F246" s="147"/>
      <c r="G246" s="147"/>
      <c r="H246" s="146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6"/>
    </row>
    <row r="247">
      <c r="A247" s="146"/>
      <c r="B247" s="147"/>
      <c r="C247" s="147"/>
      <c r="D247" s="148"/>
      <c r="E247" s="147"/>
      <c r="F247" s="147"/>
      <c r="G247" s="147"/>
      <c r="H247" s="146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6"/>
    </row>
    <row r="248">
      <c r="A248" s="146"/>
      <c r="B248" s="147"/>
      <c r="C248" s="147"/>
      <c r="D248" s="148"/>
      <c r="E248" s="147"/>
      <c r="F248" s="147"/>
      <c r="G248" s="147"/>
      <c r="H248" s="146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6"/>
    </row>
    <row r="249">
      <c r="A249" s="146"/>
      <c r="B249" s="147"/>
      <c r="C249" s="147"/>
      <c r="D249" s="148"/>
      <c r="E249" s="147"/>
      <c r="F249" s="147"/>
      <c r="G249" s="147"/>
      <c r="H249" s="146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6"/>
    </row>
    <row r="250">
      <c r="A250" s="146"/>
      <c r="B250" s="147"/>
      <c r="C250" s="147"/>
      <c r="D250" s="148"/>
      <c r="E250" s="147"/>
      <c r="F250" s="147"/>
      <c r="G250" s="147"/>
      <c r="H250" s="146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6"/>
    </row>
    <row r="251">
      <c r="A251" s="146"/>
      <c r="B251" s="147"/>
      <c r="C251" s="147"/>
      <c r="D251" s="148"/>
      <c r="E251" s="147"/>
      <c r="F251" s="147"/>
      <c r="G251" s="147"/>
      <c r="H251" s="146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6"/>
    </row>
    <row r="252">
      <c r="A252" s="146"/>
      <c r="B252" s="147"/>
      <c r="C252" s="147"/>
      <c r="D252" s="148"/>
      <c r="E252" s="147"/>
      <c r="F252" s="147"/>
      <c r="G252" s="147"/>
      <c r="H252" s="146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6"/>
    </row>
    <row r="253">
      <c r="A253" s="146"/>
      <c r="B253" s="147"/>
      <c r="C253" s="147"/>
      <c r="D253" s="148"/>
      <c r="E253" s="147"/>
      <c r="F253" s="147"/>
      <c r="G253" s="147"/>
      <c r="H253" s="146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6"/>
    </row>
    <row r="254">
      <c r="A254" s="146"/>
      <c r="B254" s="147"/>
      <c r="C254" s="147"/>
      <c r="D254" s="148"/>
      <c r="E254" s="147"/>
      <c r="F254" s="147"/>
      <c r="G254" s="147"/>
      <c r="H254" s="146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6"/>
    </row>
    <row r="255">
      <c r="A255" s="146"/>
      <c r="B255" s="147"/>
      <c r="C255" s="147"/>
      <c r="D255" s="148"/>
      <c r="E255" s="147"/>
      <c r="F255" s="147"/>
      <c r="G255" s="147"/>
      <c r="H255" s="146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6"/>
    </row>
    <row r="256">
      <c r="A256" s="146"/>
      <c r="B256" s="147"/>
      <c r="C256" s="147"/>
      <c r="D256" s="148"/>
      <c r="E256" s="147"/>
      <c r="F256" s="147"/>
      <c r="G256" s="147"/>
      <c r="H256" s="146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6"/>
    </row>
    <row r="257">
      <c r="A257" s="146"/>
      <c r="B257" s="147"/>
      <c r="C257" s="147"/>
      <c r="D257" s="148"/>
      <c r="E257" s="147"/>
      <c r="F257" s="147"/>
      <c r="G257" s="147"/>
      <c r="H257" s="146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6"/>
    </row>
    <row r="258">
      <c r="A258" s="146"/>
      <c r="B258" s="147"/>
      <c r="C258" s="147"/>
      <c r="D258" s="148"/>
      <c r="E258" s="147"/>
      <c r="F258" s="147"/>
      <c r="G258" s="147"/>
      <c r="H258" s="146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6"/>
    </row>
    <row r="259">
      <c r="A259" s="146"/>
      <c r="B259" s="147"/>
      <c r="C259" s="147"/>
      <c r="D259" s="148"/>
      <c r="E259" s="147"/>
      <c r="F259" s="147"/>
      <c r="G259" s="147"/>
      <c r="H259" s="146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6"/>
    </row>
    <row r="260">
      <c r="A260" s="146"/>
      <c r="B260" s="147"/>
      <c r="C260" s="147"/>
      <c r="D260" s="148"/>
      <c r="E260" s="147"/>
      <c r="F260" s="147"/>
      <c r="G260" s="147"/>
      <c r="H260" s="146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6"/>
    </row>
    <row r="261">
      <c r="A261" s="146"/>
      <c r="B261" s="147"/>
      <c r="C261" s="147"/>
      <c r="D261" s="148"/>
      <c r="E261" s="147"/>
      <c r="F261" s="147"/>
      <c r="G261" s="147"/>
      <c r="H261" s="146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6"/>
    </row>
    <row r="262">
      <c r="A262" s="146"/>
      <c r="B262" s="147"/>
      <c r="C262" s="147"/>
      <c r="D262" s="148"/>
      <c r="E262" s="147"/>
      <c r="F262" s="147"/>
      <c r="G262" s="147"/>
      <c r="H262" s="146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6"/>
    </row>
    <row r="263">
      <c r="A263" s="146"/>
      <c r="B263" s="147"/>
      <c r="C263" s="147"/>
      <c r="D263" s="148"/>
      <c r="E263" s="147"/>
      <c r="F263" s="147"/>
      <c r="G263" s="147"/>
      <c r="H263" s="146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6"/>
    </row>
    <row r="264">
      <c r="A264" s="146"/>
      <c r="B264" s="147"/>
      <c r="C264" s="147"/>
      <c r="D264" s="148"/>
      <c r="E264" s="147"/>
      <c r="F264" s="147"/>
      <c r="G264" s="147"/>
      <c r="H264" s="146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6"/>
    </row>
    <row r="265">
      <c r="A265" s="146"/>
      <c r="B265" s="147"/>
      <c r="C265" s="147"/>
      <c r="D265" s="148"/>
      <c r="E265" s="147"/>
      <c r="F265" s="147"/>
      <c r="G265" s="147"/>
      <c r="H265" s="146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6"/>
    </row>
    <row r="266">
      <c r="A266" s="146"/>
      <c r="B266" s="147"/>
      <c r="C266" s="147"/>
      <c r="D266" s="148"/>
      <c r="E266" s="147"/>
      <c r="F266" s="147"/>
      <c r="G266" s="147"/>
      <c r="H266" s="146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6"/>
    </row>
    <row r="267">
      <c r="A267" s="146"/>
      <c r="B267" s="147"/>
      <c r="C267" s="147"/>
      <c r="D267" s="148"/>
      <c r="E267" s="147"/>
      <c r="F267" s="147"/>
      <c r="G267" s="147"/>
      <c r="H267" s="146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6"/>
    </row>
    <row r="268">
      <c r="A268" s="146"/>
      <c r="B268" s="147"/>
      <c r="C268" s="147"/>
      <c r="D268" s="148"/>
      <c r="E268" s="147"/>
      <c r="F268" s="147"/>
      <c r="G268" s="147"/>
      <c r="H268" s="146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6"/>
    </row>
    <row r="269">
      <c r="A269" s="146"/>
      <c r="B269" s="147"/>
      <c r="C269" s="147"/>
      <c r="D269" s="148"/>
      <c r="E269" s="147"/>
      <c r="F269" s="147"/>
      <c r="G269" s="147"/>
      <c r="H269" s="146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6"/>
    </row>
    <row r="270">
      <c r="A270" s="146"/>
      <c r="B270" s="147"/>
      <c r="C270" s="147"/>
      <c r="D270" s="148"/>
      <c r="E270" s="147"/>
      <c r="F270" s="147"/>
      <c r="G270" s="147"/>
      <c r="H270" s="146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6"/>
    </row>
    <row r="271">
      <c r="A271" s="146"/>
      <c r="B271" s="147"/>
      <c r="C271" s="147"/>
      <c r="D271" s="148"/>
      <c r="E271" s="147"/>
      <c r="F271" s="147"/>
      <c r="G271" s="147"/>
      <c r="H271" s="146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6"/>
    </row>
    <row r="272">
      <c r="A272" s="146"/>
      <c r="B272" s="147"/>
      <c r="C272" s="147"/>
      <c r="D272" s="148"/>
      <c r="E272" s="147"/>
      <c r="F272" s="147"/>
      <c r="G272" s="147"/>
      <c r="H272" s="146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6"/>
    </row>
    <row r="273">
      <c r="A273" s="146"/>
      <c r="B273" s="147"/>
      <c r="C273" s="147"/>
      <c r="D273" s="148"/>
      <c r="E273" s="147"/>
      <c r="F273" s="147"/>
      <c r="G273" s="147"/>
      <c r="H273" s="146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6"/>
    </row>
    <row r="274">
      <c r="A274" s="146"/>
      <c r="B274" s="147"/>
      <c r="C274" s="147"/>
      <c r="D274" s="148"/>
      <c r="E274" s="147"/>
      <c r="F274" s="147"/>
      <c r="G274" s="147"/>
      <c r="H274" s="146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6"/>
    </row>
    <row r="275">
      <c r="A275" s="146"/>
      <c r="B275" s="147"/>
      <c r="C275" s="147"/>
      <c r="D275" s="148"/>
      <c r="E275" s="147"/>
      <c r="F275" s="147"/>
      <c r="G275" s="147"/>
      <c r="H275" s="146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6"/>
    </row>
    <row r="276">
      <c r="A276" s="146"/>
      <c r="B276" s="147"/>
      <c r="C276" s="147"/>
      <c r="D276" s="148"/>
      <c r="E276" s="147"/>
      <c r="F276" s="147"/>
      <c r="G276" s="147"/>
      <c r="H276" s="146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6"/>
    </row>
    <row r="277">
      <c r="A277" s="146"/>
      <c r="B277" s="147"/>
      <c r="C277" s="147"/>
      <c r="D277" s="148"/>
      <c r="E277" s="147"/>
      <c r="F277" s="147"/>
      <c r="G277" s="147"/>
      <c r="H277" s="146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6"/>
    </row>
    <row r="278">
      <c r="A278" s="146"/>
      <c r="B278" s="147"/>
      <c r="C278" s="147"/>
      <c r="D278" s="148"/>
      <c r="E278" s="147"/>
      <c r="F278" s="147"/>
      <c r="G278" s="147"/>
      <c r="H278" s="146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6"/>
    </row>
    <row r="279">
      <c r="A279" s="146"/>
      <c r="B279" s="147"/>
      <c r="C279" s="147"/>
      <c r="D279" s="148"/>
      <c r="E279" s="147"/>
      <c r="F279" s="147"/>
      <c r="G279" s="147"/>
      <c r="H279" s="146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6"/>
    </row>
    <row r="280">
      <c r="A280" s="146"/>
      <c r="B280" s="147"/>
      <c r="C280" s="147"/>
      <c r="D280" s="148"/>
      <c r="E280" s="147"/>
      <c r="F280" s="147"/>
      <c r="G280" s="147"/>
      <c r="H280" s="146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6"/>
    </row>
    <row r="281">
      <c r="A281" s="146"/>
      <c r="B281" s="147"/>
      <c r="C281" s="147"/>
      <c r="D281" s="148"/>
      <c r="E281" s="147"/>
      <c r="F281" s="147"/>
      <c r="G281" s="147"/>
      <c r="H281" s="146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6"/>
    </row>
    <row r="282">
      <c r="A282" s="146"/>
      <c r="B282" s="147"/>
      <c r="C282" s="147"/>
      <c r="D282" s="148"/>
      <c r="E282" s="147"/>
      <c r="F282" s="147"/>
      <c r="G282" s="147"/>
      <c r="H282" s="146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6"/>
    </row>
    <row r="283">
      <c r="A283" s="146"/>
      <c r="B283" s="147"/>
      <c r="C283" s="147"/>
      <c r="D283" s="148"/>
      <c r="E283" s="147"/>
      <c r="F283" s="147"/>
      <c r="G283" s="147"/>
      <c r="H283" s="146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6"/>
    </row>
    <row r="284">
      <c r="A284" s="146"/>
      <c r="B284" s="147"/>
      <c r="C284" s="147"/>
      <c r="D284" s="148"/>
      <c r="E284" s="147"/>
      <c r="F284" s="147"/>
      <c r="G284" s="147"/>
      <c r="H284" s="146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6"/>
    </row>
    <row r="285">
      <c r="A285" s="146"/>
      <c r="B285" s="147"/>
      <c r="C285" s="147"/>
      <c r="D285" s="148"/>
      <c r="E285" s="147"/>
      <c r="F285" s="147"/>
      <c r="G285" s="147"/>
      <c r="H285" s="146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6"/>
    </row>
    <row r="286">
      <c r="A286" s="146"/>
      <c r="B286" s="147"/>
      <c r="C286" s="147"/>
      <c r="D286" s="148"/>
      <c r="E286" s="147"/>
      <c r="F286" s="147"/>
      <c r="G286" s="147"/>
      <c r="H286" s="146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6"/>
    </row>
    <row r="287">
      <c r="A287" s="146"/>
      <c r="B287" s="147"/>
      <c r="C287" s="147"/>
      <c r="D287" s="148"/>
      <c r="E287" s="147"/>
      <c r="F287" s="147"/>
      <c r="G287" s="147"/>
      <c r="H287" s="146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6"/>
    </row>
    <row r="288">
      <c r="A288" s="146"/>
      <c r="B288" s="147"/>
      <c r="C288" s="147"/>
      <c r="D288" s="148"/>
      <c r="E288" s="147"/>
      <c r="F288" s="147"/>
      <c r="G288" s="147"/>
      <c r="H288" s="146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6"/>
    </row>
    <row r="289">
      <c r="A289" s="146"/>
      <c r="B289" s="147"/>
      <c r="C289" s="147"/>
      <c r="D289" s="148"/>
      <c r="E289" s="147"/>
      <c r="F289" s="147"/>
      <c r="G289" s="147"/>
      <c r="H289" s="146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6"/>
    </row>
    <row r="290">
      <c r="A290" s="146"/>
      <c r="B290" s="147"/>
      <c r="C290" s="147"/>
      <c r="D290" s="148"/>
      <c r="E290" s="147"/>
      <c r="F290" s="147"/>
      <c r="G290" s="147"/>
      <c r="H290" s="146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6"/>
    </row>
    <row r="291">
      <c r="A291" s="146"/>
      <c r="B291" s="147"/>
      <c r="C291" s="147"/>
      <c r="D291" s="148"/>
      <c r="E291" s="147"/>
      <c r="F291" s="147"/>
      <c r="G291" s="147"/>
      <c r="H291" s="146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6"/>
    </row>
    <row r="292">
      <c r="A292" s="146"/>
      <c r="B292" s="147"/>
      <c r="C292" s="147"/>
      <c r="D292" s="148"/>
      <c r="E292" s="147"/>
      <c r="F292" s="147"/>
      <c r="G292" s="147"/>
      <c r="H292" s="146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6"/>
    </row>
    <row r="293">
      <c r="A293" s="146"/>
      <c r="B293" s="147"/>
      <c r="C293" s="147"/>
      <c r="D293" s="148"/>
      <c r="E293" s="147"/>
      <c r="F293" s="147"/>
      <c r="G293" s="147"/>
      <c r="H293" s="146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6"/>
    </row>
    <row r="294">
      <c r="A294" s="146"/>
      <c r="B294" s="147"/>
      <c r="C294" s="147"/>
      <c r="D294" s="148"/>
      <c r="E294" s="147"/>
      <c r="F294" s="147"/>
      <c r="G294" s="147"/>
      <c r="H294" s="146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6"/>
    </row>
    <row r="295">
      <c r="A295" s="146"/>
      <c r="B295" s="147"/>
      <c r="C295" s="147"/>
      <c r="D295" s="148"/>
      <c r="E295" s="147"/>
      <c r="F295" s="147"/>
      <c r="G295" s="147"/>
      <c r="H295" s="146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6"/>
    </row>
    <row r="296">
      <c r="A296" s="146"/>
      <c r="B296" s="147"/>
      <c r="C296" s="147"/>
      <c r="D296" s="148"/>
      <c r="E296" s="147"/>
      <c r="F296" s="147"/>
      <c r="G296" s="147"/>
      <c r="H296" s="146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6"/>
    </row>
    <row r="297">
      <c r="A297" s="146"/>
      <c r="B297" s="147"/>
      <c r="C297" s="147"/>
      <c r="D297" s="148"/>
      <c r="E297" s="147"/>
      <c r="F297" s="147"/>
      <c r="G297" s="147"/>
      <c r="H297" s="146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6"/>
    </row>
    <row r="298">
      <c r="A298" s="146"/>
      <c r="B298" s="147"/>
      <c r="C298" s="147"/>
      <c r="D298" s="148"/>
      <c r="E298" s="147"/>
      <c r="F298" s="147"/>
      <c r="G298" s="147"/>
      <c r="H298" s="146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6"/>
    </row>
    <row r="299">
      <c r="A299" s="146"/>
      <c r="B299" s="147"/>
      <c r="C299" s="147"/>
      <c r="D299" s="148"/>
      <c r="E299" s="147"/>
      <c r="F299" s="147"/>
      <c r="G299" s="147"/>
      <c r="H299" s="146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6"/>
    </row>
    <row r="300">
      <c r="A300" s="146"/>
      <c r="B300" s="147"/>
      <c r="C300" s="147"/>
      <c r="D300" s="148"/>
      <c r="E300" s="147"/>
      <c r="F300" s="147"/>
      <c r="G300" s="147"/>
      <c r="H300" s="146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6"/>
    </row>
    <row r="301">
      <c r="A301" s="146"/>
      <c r="B301" s="147"/>
      <c r="C301" s="147"/>
      <c r="D301" s="148"/>
      <c r="E301" s="147"/>
      <c r="F301" s="147"/>
      <c r="G301" s="147"/>
      <c r="H301" s="146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6"/>
    </row>
    <row r="302">
      <c r="A302" s="146"/>
      <c r="B302" s="147"/>
      <c r="C302" s="147"/>
      <c r="D302" s="148"/>
      <c r="E302" s="147"/>
      <c r="F302" s="147"/>
      <c r="G302" s="147"/>
      <c r="H302" s="146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6"/>
    </row>
    <row r="303">
      <c r="A303" s="146"/>
      <c r="B303" s="147"/>
      <c r="C303" s="147"/>
      <c r="D303" s="148"/>
      <c r="E303" s="147"/>
      <c r="F303" s="147"/>
      <c r="G303" s="147"/>
      <c r="H303" s="146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6"/>
    </row>
    <row r="304">
      <c r="A304" s="146"/>
      <c r="B304" s="147"/>
      <c r="C304" s="147"/>
      <c r="D304" s="148"/>
      <c r="E304" s="147"/>
      <c r="F304" s="147"/>
      <c r="G304" s="147"/>
      <c r="H304" s="146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6"/>
    </row>
    <row r="305">
      <c r="A305" s="146"/>
      <c r="B305" s="147"/>
      <c r="C305" s="147"/>
      <c r="D305" s="148"/>
      <c r="E305" s="147"/>
      <c r="F305" s="147"/>
      <c r="G305" s="147"/>
      <c r="H305" s="146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6"/>
    </row>
    <row r="306">
      <c r="A306" s="146"/>
      <c r="B306" s="147"/>
      <c r="C306" s="147"/>
      <c r="D306" s="148"/>
      <c r="E306" s="147"/>
      <c r="F306" s="147"/>
      <c r="G306" s="147"/>
      <c r="H306" s="146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6"/>
    </row>
    <row r="307">
      <c r="A307" s="146"/>
      <c r="B307" s="147"/>
      <c r="C307" s="147"/>
      <c r="D307" s="148"/>
      <c r="E307" s="147"/>
      <c r="F307" s="147"/>
      <c r="G307" s="147"/>
      <c r="H307" s="146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6"/>
    </row>
    <row r="308">
      <c r="A308" s="146"/>
      <c r="B308" s="147"/>
      <c r="C308" s="147"/>
      <c r="D308" s="148"/>
      <c r="E308" s="147"/>
      <c r="F308" s="147"/>
      <c r="G308" s="147"/>
      <c r="H308" s="146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6"/>
    </row>
    <row r="309">
      <c r="A309" s="146"/>
      <c r="B309" s="147"/>
      <c r="C309" s="147"/>
      <c r="D309" s="148"/>
      <c r="E309" s="147"/>
      <c r="F309" s="147"/>
      <c r="G309" s="147"/>
      <c r="H309" s="146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6"/>
    </row>
    <row r="310">
      <c r="A310" s="146"/>
      <c r="B310" s="147"/>
      <c r="C310" s="147"/>
      <c r="D310" s="148"/>
      <c r="E310" s="147"/>
      <c r="F310" s="147"/>
      <c r="G310" s="147"/>
      <c r="H310" s="146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6"/>
    </row>
    <row r="311">
      <c r="A311" s="146"/>
      <c r="B311" s="147"/>
      <c r="C311" s="147"/>
      <c r="D311" s="148"/>
      <c r="E311" s="147"/>
      <c r="F311" s="147"/>
      <c r="G311" s="147"/>
      <c r="H311" s="146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6"/>
    </row>
    <row r="312">
      <c r="A312" s="146"/>
      <c r="B312" s="147"/>
      <c r="C312" s="147"/>
      <c r="D312" s="148"/>
      <c r="E312" s="147"/>
      <c r="F312" s="147"/>
      <c r="G312" s="147"/>
      <c r="H312" s="146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6"/>
    </row>
    <row r="313">
      <c r="A313" s="146"/>
      <c r="B313" s="147"/>
      <c r="C313" s="147"/>
      <c r="D313" s="148"/>
      <c r="E313" s="147"/>
      <c r="F313" s="147"/>
      <c r="G313" s="147"/>
      <c r="H313" s="146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6"/>
    </row>
    <row r="314">
      <c r="A314" s="146"/>
      <c r="B314" s="147"/>
      <c r="C314" s="147"/>
      <c r="D314" s="148"/>
      <c r="E314" s="147"/>
      <c r="F314" s="147"/>
      <c r="G314" s="147"/>
      <c r="H314" s="146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6"/>
    </row>
    <row r="315">
      <c r="A315" s="146"/>
      <c r="B315" s="147"/>
      <c r="C315" s="147"/>
      <c r="D315" s="148"/>
      <c r="E315" s="147"/>
      <c r="F315" s="147"/>
      <c r="G315" s="147"/>
      <c r="H315" s="146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6"/>
    </row>
    <row r="316">
      <c r="A316" s="146"/>
      <c r="B316" s="147"/>
      <c r="C316" s="147"/>
      <c r="D316" s="148"/>
      <c r="E316" s="147"/>
      <c r="F316" s="147"/>
      <c r="G316" s="147"/>
      <c r="H316" s="146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6"/>
    </row>
    <row r="317">
      <c r="A317" s="146"/>
      <c r="B317" s="147"/>
      <c r="C317" s="147"/>
      <c r="D317" s="148"/>
      <c r="E317" s="147"/>
      <c r="F317" s="147"/>
      <c r="G317" s="147"/>
      <c r="H317" s="146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6"/>
    </row>
    <row r="318">
      <c r="A318" s="146"/>
      <c r="B318" s="147"/>
      <c r="C318" s="147"/>
      <c r="D318" s="148"/>
      <c r="E318" s="147"/>
      <c r="F318" s="147"/>
      <c r="G318" s="147"/>
      <c r="H318" s="146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6"/>
    </row>
    <row r="319">
      <c r="A319" s="146"/>
      <c r="B319" s="147"/>
      <c r="C319" s="147"/>
      <c r="D319" s="148"/>
      <c r="E319" s="147"/>
      <c r="F319" s="147"/>
      <c r="G319" s="147"/>
      <c r="H319" s="146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6"/>
    </row>
    <row r="320">
      <c r="A320" s="146"/>
      <c r="B320" s="147"/>
      <c r="C320" s="147"/>
      <c r="D320" s="148"/>
      <c r="E320" s="147"/>
      <c r="F320" s="147"/>
      <c r="G320" s="147"/>
      <c r="H320" s="146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6"/>
    </row>
    <row r="321">
      <c r="A321" s="146"/>
      <c r="B321" s="147"/>
      <c r="C321" s="147"/>
      <c r="D321" s="148"/>
      <c r="E321" s="147"/>
      <c r="F321" s="147"/>
      <c r="G321" s="147"/>
      <c r="H321" s="146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6"/>
    </row>
    <row r="322">
      <c r="A322" s="146"/>
      <c r="B322" s="147"/>
      <c r="C322" s="147"/>
      <c r="D322" s="148"/>
      <c r="E322" s="147"/>
      <c r="F322" s="147"/>
      <c r="G322" s="147"/>
      <c r="H322" s="146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6"/>
    </row>
    <row r="323">
      <c r="A323" s="146"/>
      <c r="B323" s="147"/>
      <c r="C323" s="147"/>
      <c r="D323" s="148"/>
      <c r="E323" s="147"/>
      <c r="F323" s="147"/>
      <c r="G323" s="147"/>
      <c r="H323" s="146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6"/>
    </row>
    <row r="324">
      <c r="A324" s="146"/>
      <c r="B324" s="147"/>
      <c r="C324" s="147"/>
      <c r="D324" s="148"/>
      <c r="E324" s="147"/>
      <c r="F324" s="147"/>
      <c r="G324" s="147"/>
      <c r="H324" s="146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6"/>
    </row>
    <row r="325">
      <c r="A325" s="146"/>
      <c r="B325" s="147"/>
      <c r="C325" s="147"/>
      <c r="D325" s="148"/>
      <c r="E325" s="147"/>
      <c r="F325" s="147"/>
      <c r="G325" s="147"/>
      <c r="H325" s="146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6"/>
    </row>
    <row r="326">
      <c r="A326" s="146"/>
      <c r="B326" s="147"/>
      <c r="C326" s="147"/>
      <c r="D326" s="148"/>
      <c r="E326" s="147"/>
      <c r="F326" s="147"/>
      <c r="G326" s="147"/>
      <c r="H326" s="146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6"/>
    </row>
    <row r="327">
      <c r="A327" s="146"/>
      <c r="B327" s="147"/>
      <c r="C327" s="147"/>
      <c r="D327" s="148"/>
      <c r="E327" s="147"/>
      <c r="F327" s="147"/>
      <c r="G327" s="147"/>
      <c r="H327" s="146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6"/>
    </row>
    <row r="328">
      <c r="A328" s="146"/>
      <c r="B328" s="147"/>
      <c r="C328" s="147"/>
      <c r="D328" s="148"/>
      <c r="E328" s="147"/>
      <c r="F328" s="147"/>
      <c r="G328" s="147"/>
      <c r="H328" s="146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6"/>
    </row>
    <row r="329">
      <c r="A329" s="146"/>
      <c r="B329" s="147"/>
      <c r="C329" s="147"/>
      <c r="D329" s="148"/>
      <c r="E329" s="147"/>
      <c r="F329" s="147"/>
      <c r="G329" s="147"/>
      <c r="H329" s="146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6"/>
    </row>
    <row r="330">
      <c r="A330" s="146"/>
      <c r="B330" s="147"/>
      <c r="C330" s="147"/>
      <c r="D330" s="148"/>
      <c r="E330" s="147"/>
      <c r="F330" s="147"/>
      <c r="G330" s="147"/>
      <c r="H330" s="146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6"/>
    </row>
    <row r="331">
      <c r="A331" s="146"/>
      <c r="B331" s="147"/>
      <c r="C331" s="147"/>
      <c r="D331" s="148"/>
      <c r="E331" s="147"/>
      <c r="F331" s="147"/>
      <c r="G331" s="147"/>
      <c r="H331" s="146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6"/>
    </row>
    <row r="332">
      <c r="A332" s="146"/>
      <c r="B332" s="147"/>
      <c r="C332" s="147"/>
      <c r="D332" s="148"/>
      <c r="E332" s="147"/>
      <c r="F332" s="147"/>
      <c r="G332" s="147"/>
      <c r="H332" s="146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6"/>
    </row>
    <row r="333">
      <c r="A333" s="146"/>
      <c r="B333" s="147"/>
      <c r="C333" s="147"/>
      <c r="D333" s="148"/>
      <c r="E333" s="147"/>
      <c r="F333" s="147"/>
      <c r="G333" s="147"/>
      <c r="H333" s="146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6"/>
    </row>
    <row r="334">
      <c r="A334" s="146"/>
      <c r="B334" s="147"/>
      <c r="C334" s="147"/>
      <c r="D334" s="148"/>
      <c r="E334" s="147"/>
      <c r="F334" s="147"/>
      <c r="G334" s="147"/>
      <c r="H334" s="146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6"/>
    </row>
    <row r="335">
      <c r="A335" s="146"/>
      <c r="B335" s="147"/>
      <c r="C335" s="147"/>
      <c r="D335" s="148"/>
      <c r="E335" s="147"/>
      <c r="F335" s="147"/>
      <c r="G335" s="147"/>
      <c r="H335" s="146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6"/>
    </row>
    <row r="336">
      <c r="A336" s="146"/>
      <c r="B336" s="147"/>
      <c r="C336" s="147"/>
      <c r="D336" s="148"/>
      <c r="E336" s="147"/>
      <c r="F336" s="147"/>
      <c r="G336" s="147"/>
      <c r="H336" s="146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6"/>
    </row>
    <row r="337">
      <c r="A337" s="146"/>
      <c r="B337" s="147"/>
      <c r="C337" s="147"/>
      <c r="D337" s="148"/>
      <c r="E337" s="147"/>
      <c r="F337" s="147"/>
      <c r="G337" s="147"/>
      <c r="H337" s="146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6"/>
    </row>
    <row r="338">
      <c r="A338" s="146"/>
      <c r="B338" s="147"/>
      <c r="C338" s="147"/>
      <c r="D338" s="148"/>
      <c r="E338" s="147"/>
      <c r="F338" s="147"/>
      <c r="G338" s="147"/>
      <c r="H338" s="146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6"/>
    </row>
    <row r="339">
      <c r="A339" s="146"/>
      <c r="B339" s="147"/>
      <c r="C339" s="147"/>
      <c r="D339" s="148"/>
      <c r="E339" s="147"/>
      <c r="F339" s="147"/>
      <c r="G339" s="147"/>
      <c r="H339" s="146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6"/>
    </row>
    <row r="340">
      <c r="A340" s="146"/>
      <c r="B340" s="147"/>
      <c r="C340" s="147"/>
      <c r="D340" s="148"/>
      <c r="E340" s="147"/>
      <c r="F340" s="147"/>
      <c r="G340" s="147"/>
      <c r="H340" s="146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6"/>
    </row>
    <row r="341">
      <c r="A341" s="146"/>
      <c r="B341" s="147"/>
      <c r="C341" s="147"/>
      <c r="D341" s="148"/>
      <c r="E341" s="147"/>
      <c r="F341" s="147"/>
      <c r="G341" s="147"/>
      <c r="H341" s="146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6"/>
    </row>
    <row r="342">
      <c r="A342" s="146"/>
      <c r="B342" s="147"/>
      <c r="C342" s="147"/>
      <c r="D342" s="148"/>
      <c r="E342" s="147"/>
      <c r="F342" s="147"/>
      <c r="G342" s="147"/>
      <c r="H342" s="146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6"/>
    </row>
    <row r="343">
      <c r="A343" s="146"/>
      <c r="B343" s="147"/>
      <c r="C343" s="147"/>
      <c r="D343" s="148"/>
      <c r="E343" s="147"/>
      <c r="F343" s="147"/>
      <c r="G343" s="147"/>
      <c r="H343" s="146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6"/>
    </row>
    <row r="344">
      <c r="A344" s="146"/>
      <c r="B344" s="147"/>
      <c r="C344" s="147"/>
      <c r="D344" s="148"/>
      <c r="E344" s="147"/>
      <c r="F344" s="147"/>
      <c r="G344" s="147"/>
      <c r="H344" s="146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6"/>
    </row>
    <row r="345">
      <c r="A345" s="146"/>
      <c r="B345" s="147"/>
      <c r="C345" s="147"/>
      <c r="D345" s="148"/>
      <c r="E345" s="147"/>
      <c r="F345" s="147"/>
      <c r="G345" s="147"/>
      <c r="H345" s="146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6"/>
    </row>
    <row r="346">
      <c r="A346" s="146"/>
      <c r="B346" s="147"/>
      <c r="C346" s="147"/>
      <c r="D346" s="148"/>
      <c r="E346" s="147"/>
      <c r="F346" s="147"/>
      <c r="G346" s="147"/>
      <c r="H346" s="146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6"/>
    </row>
    <row r="347">
      <c r="A347" s="146"/>
      <c r="B347" s="147"/>
      <c r="C347" s="147"/>
      <c r="D347" s="148"/>
      <c r="E347" s="147"/>
      <c r="F347" s="147"/>
      <c r="G347" s="147"/>
      <c r="H347" s="146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6"/>
    </row>
    <row r="348">
      <c r="A348" s="146"/>
      <c r="B348" s="147"/>
      <c r="C348" s="147"/>
      <c r="D348" s="148"/>
      <c r="E348" s="147"/>
      <c r="F348" s="147"/>
      <c r="G348" s="147"/>
      <c r="H348" s="146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6"/>
    </row>
    <row r="349">
      <c r="A349" s="146"/>
      <c r="B349" s="147"/>
      <c r="C349" s="147"/>
      <c r="D349" s="148"/>
      <c r="E349" s="147"/>
      <c r="F349" s="147"/>
      <c r="G349" s="147"/>
      <c r="H349" s="146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6"/>
    </row>
    <row r="350">
      <c r="A350" s="146"/>
      <c r="B350" s="147"/>
      <c r="C350" s="147"/>
      <c r="D350" s="148"/>
      <c r="E350" s="147"/>
      <c r="F350" s="147"/>
      <c r="G350" s="147"/>
      <c r="H350" s="146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6"/>
    </row>
    <row r="351">
      <c r="A351" s="146"/>
      <c r="B351" s="147"/>
      <c r="C351" s="147"/>
      <c r="D351" s="148"/>
      <c r="E351" s="147"/>
      <c r="F351" s="147"/>
      <c r="G351" s="147"/>
      <c r="H351" s="146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6"/>
    </row>
    <row r="352">
      <c r="A352" s="146"/>
      <c r="B352" s="147"/>
      <c r="C352" s="147"/>
      <c r="D352" s="148"/>
      <c r="E352" s="147"/>
      <c r="F352" s="147"/>
      <c r="G352" s="147"/>
      <c r="H352" s="146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6"/>
    </row>
    <row r="353">
      <c r="A353" s="146"/>
      <c r="B353" s="147"/>
      <c r="C353" s="147"/>
      <c r="D353" s="148"/>
      <c r="E353" s="147"/>
      <c r="F353" s="147"/>
      <c r="G353" s="147"/>
      <c r="H353" s="146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6"/>
    </row>
    <row r="354">
      <c r="A354" s="146"/>
      <c r="B354" s="147"/>
      <c r="C354" s="147"/>
      <c r="D354" s="148"/>
      <c r="E354" s="147"/>
      <c r="F354" s="147"/>
      <c r="G354" s="147"/>
      <c r="H354" s="146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6"/>
    </row>
    <row r="355">
      <c r="A355" s="146"/>
      <c r="B355" s="147"/>
      <c r="C355" s="147"/>
      <c r="D355" s="148"/>
      <c r="E355" s="147"/>
      <c r="F355" s="147"/>
      <c r="G355" s="147"/>
      <c r="H355" s="146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6"/>
    </row>
    <row r="356">
      <c r="A356" s="146"/>
      <c r="B356" s="147"/>
      <c r="C356" s="147"/>
      <c r="D356" s="148"/>
      <c r="E356" s="147"/>
      <c r="F356" s="147"/>
      <c r="G356" s="147"/>
      <c r="H356" s="146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6"/>
    </row>
    <row r="357">
      <c r="A357" s="146"/>
      <c r="B357" s="147"/>
      <c r="C357" s="147"/>
      <c r="D357" s="148"/>
      <c r="E357" s="147"/>
      <c r="F357" s="147"/>
      <c r="G357" s="147"/>
      <c r="H357" s="146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6"/>
    </row>
    <row r="358">
      <c r="A358" s="146"/>
      <c r="B358" s="147"/>
      <c r="C358" s="147"/>
      <c r="D358" s="148"/>
      <c r="E358" s="147"/>
      <c r="F358" s="147"/>
      <c r="G358" s="147"/>
      <c r="H358" s="146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6"/>
    </row>
    <row r="359">
      <c r="A359" s="146"/>
      <c r="B359" s="147"/>
      <c r="C359" s="147"/>
      <c r="D359" s="148"/>
      <c r="E359" s="147"/>
      <c r="F359" s="147"/>
      <c r="G359" s="147"/>
      <c r="H359" s="146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6"/>
    </row>
    <row r="360">
      <c r="A360" s="146"/>
      <c r="B360" s="147"/>
      <c r="C360" s="147"/>
      <c r="D360" s="148"/>
      <c r="E360" s="147"/>
      <c r="F360" s="147"/>
      <c r="G360" s="147"/>
      <c r="H360" s="146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6"/>
    </row>
    <row r="361">
      <c r="A361" s="146"/>
      <c r="B361" s="147"/>
      <c r="C361" s="147"/>
      <c r="D361" s="148"/>
      <c r="E361" s="147"/>
      <c r="F361" s="147"/>
      <c r="G361" s="147"/>
      <c r="H361" s="146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6"/>
    </row>
    <row r="362">
      <c r="A362" s="146"/>
      <c r="B362" s="147"/>
      <c r="C362" s="147"/>
      <c r="D362" s="148"/>
      <c r="E362" s="147"/>
      <c r="F362" s="147"/>
      <c r="G362" s="147"/>
      <c r="H362" s="146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6"/>
    </row>
    <row r="363">
      <c r="A363" s="146"/>
      <c r="B363" s="147"/>
      <c r="C363" s="147"/>
      <c r="D363" s="148"/>
      <c r="E363" s="147"/>
      <c r="F363" s="147"/>
      <c r="G363" s="147"/>
      <c r="H363" s="146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6"/>
    </row>
    <row r="364">
      <c r="A364" s="146"/>
      <c r="B364" s="147"/>
      <c r="C364" s="147"/>
      <c r="D364" s="148"/>
      <c r="E364" s="147"/>
      <c r="F364" s="147"/>
      <c r="G364" s="147"/>
      <c r="H364" s="146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6"/>
    </row>
    <row r="365">
      <c r="A365" s="146"/>
      <c r="B365" s="147"/>
      <c r="C365" s="147"/>
      <c r="D365" s="148"/>
      <c r="E365" s="147"/>
      <c r="F365" s="147"/>
      <c r="G365" s="147"/>
      <c r="H365" s="146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6"/>
    </row>
    <row r="366">
      <c r="A366" s="146"/>
      <c r="B366" s="147"/>
      <c r="C366" s="147"/>
      <c r="D366" s="148"/>
      <c r="E366" s="147"/>
      <c r="F366" s="147"/>
      <c r="G366" s="147"/>
      <c r="H366" s="146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6"/>
    </row>
    <row r="367">
      <c r="A367" s="146"/>
      <c r="B367" s="147"/>
      <c r="C367" s="147"/>
      <c r="D367" s="148"/>
      <c r="E367" s="147"/>
      <c r="F367" s="147"/>
      <c r="G367" s="147"/>
      <c r="H367" s="146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6"/>
    </row>
    <row r="368">
      <c r="A368" s="146"/>
      <c r="B368" s="147"/>
      <c r="C368" s="147"/>
      <c r="D368" s="148"/>
      <c r="E368" s="147"/>
      <c r="F368" s="147"/>
      <c r="G368" s="147"/>
      <c r="H368" s="146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6"/>
    </row>
    <row r="369">
      <c r="A369" s="146"/>
      <c r="B369" s="147"/>
      <c r="C369" s="147"/>
      <c r="D369" s="148"/>
      <c r="E369" s="147"/>
      <c r="F369" s="147"/>
      <c r="G369" s="147"/>
      <c r="H369" s="146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6"/>
    </row>
    <row r="370">
      <c r="A370" s="146"/>
      <c r="B370" s="147"/>
      <c r="C370" s="147"/>
      <c r="D370" s="148"/>
      <c r="E370" s="147"/>
      <c r="F370" s="147"/>
      <c r="G370" s="147"/>
      <c r="H370" s="146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6"/>
    </row>
    <row r="371">
      <c r="A371" s="146"/>
      <c r="B371" s="147"/>
      <c r="C371" s="147"/>
      <c r="D371" s="148"/>
      <c r="E371" s="147"/>
      <c r="F371" s="147"/>
      <c r="G371" s="147"/>
      <c r="H371" s="146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6"/>
    </row>
    <row r="372">
      <c r="A372" s="146"/>
      <c r="B372" s="147"/>
      <c r="C372" s="147"/>
      <c r="D372" s="148"/>
      <c r="E372" s="147"/>
      <c r="F372" s="147"/>
      <c r="G372" s="147"/>
      <c r="H372" s="146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6"/>
    </row>
    <row r="373">
      <c r="A373" s="146"/>
      <c r="B373" s="147"/>
      <c r="C373" s="147"/>
      <c r="D373" s="148"/>
      <c r="E373" s="147"/>
      <c r="F373" s="147"/>
      <c r="G373" s="147"/>
      <c r="H373" s="146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6"/>
    </row>
    <row r="374">
      <c r="A374" s="146"/>
      <c r="B374" s="147"/>
      <c r="C374" s="147"/>
      <c r="D374" s="148"/>
      <c r="E374" s="147"/>
      <c r="F374" s="147"/>
      <c r="G374" s="147"/>
      <c r="H374" s="146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6"/>
    </row>
    <row r="375">
      <c r="A375" s="146"/>
      <c r="B375" s="147"/>
      <c r="C375" s="147"/>
      <c r="D375" s="148"/>
      <c r="E375" s="147"/>
      <c r="F375" s="147"/>
      <c r="G375" s="147"/>
      <c r="H375" s="146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6"/>
    </row>
    <row r="376">
      <c r="A376" s="146"/>
      <c r="B376" s="147"/>
      <c r="C376" s="147"/>
      <c r="D376" s="148"/>
      <c r="E376" s="147"/>
      <c r="F376" s="147"/>
      <c r="G376" s="147"/>
      <c r="H376" s="146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6"/>
    </row>
    <row r="377">
      <c r="A377" s="146"/>
      <c r="B377" s="147"/>
      <c r="C377" s="147"/>
      <c r="D377" s="148"/>
      <c r="E377" s="147"/>
      <c r="F377" s="147"/>
      <c r="G377" s="147"/>
      <c r="H377" s="146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6"/>
    </row>
    <row r="378">
      <c r="A378" s="146"/>
      <c r="B378" s="147"/>
      <c r="C378" s="147"/>
      <c r="D378" s="148"/>
      <c r="E378" s="147"/>
      <c r="F378" s="147"/>
      <c r="G378" s="147"/>
      <c r="H378" s="146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6"/>
    </row>
    <row r="379">
      <c r="A379" s="146"/>
      <c r="B379" s="147"/>
      <c r="C379" s="147"/>
      <c r="D379" s="148"/>
      <c r="E379" s="147"/>
      <c r="F379" s="147"/>
      <c r="G379" s="147"/>
      <c r="H379" s="146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6"/>
    </row>
    <row r="380">
      <c r="A380" s="146"/>
      <c r="B380" s="147"/>
      <c r="C380" s="147"/>
      <c r="D380" s="148"/>
      <c r="E380" s="147"/>
      <c r="F380" s="147"/>
      <c r="G380" s="147"/>
      <c r="H380" s="146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6"/>
    </row>
    <row r="381">
      <c r="A381" s="146"/>
      <c r="B381" s="147"/>
      <c r="C381" s="147"/>
      <c r="D381" s="148"/>
      <c r="E381" s="147"/>
      <c r="F381" s="147"/>
      <c r="G381" s="147"/>
      <c r="H381" s="146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6"/>
    </row>
    <row r="382">
      <c r="A382" s="146"/>
      <c r="B382" s="147"/>
      <c r="C382" s="147"/>
      <c r="D382" s="148"/>
      <c r="E382" s="147"/>
      <c r="F382" s="147"/>
      <c r="G382" s="147"/>
      <c r="H382" s="146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6"/>
    </row>
    <row r="383">
      <c r="A383" s="146"/>
      <c r="B383" s="147"/>
      <c r="C383" s="147"/>
      <c r="D383" s="148"/>
      <c r="E383" s="147"/>
      <c r="F383" s="147"/>
      <c r="G383" s="147"/>
      <c r="H383" s="146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6"/>
    </row>
    <row r="384">
      <c r="A384" s="146"/>
      <c r="B384" s="147"/>
      <c r="C384" s="147"/>
      <c r="D384" s="148"/>
      <c r="E384" s="147"/>
      <c r="F384" s="147"/>
      <c r="G384" s="147"/>
      <c r="H384" s="146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6"/>
    </row>
    <row r="385">
      <c r="A385" s="146"/>
      <c r="B385" s="147"/>
      <c r="C385" s="147"/>
      <c r="D385" s="148"/>
      <c r="E385" s="147"/>
      <c r="F385" s="147"/>
      <c r="G385" s="147"/>
      <c r="H385" s="146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6"/>
    </row>
    <row r="386">
      <c r="A386" s="146"/>
      <c r="B386" s="147"/>
      <c r="C386" s="147"/>
      <c r="D386" s="148"/>
      <c r="E386" s="147"/>
      <c r="F386" s="147"/>
      <c r="G386" s="147"/>
      <c r="H386" s="146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6"/>
    </row>
    <row r="387">
      <c r="A387" s="146"/>
      <c r="B387" s="147"/>
      <c r="C387" s="147"/>
      <c r="D387" s="148"/>
      <c r="E387" s="147"/>
      <c r="F387" s="147"/>
      <c r="G387" s="147"/>
      <c r="H387" s="146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6"/>
    </row>
    <row r="388">
      <c r="A388" s="146"/>
      <c r="B388" s="147"/>
      <c r="C388" s="147"/>
      <c r="D388" s="148"/>
      <c r="E388" s="147"/>
      <c r="F388" s="147"/>
      <c r="G388" s="147"/>
      <c r="H388" s="146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6"/>
    </row>
    <row r="389">
      <c r="A389" s="146"/>
      <c r="B389" s="147"/>
      <c r="C389" s="147"/>
      <c r="D389" s="148"/>
      <c r="E389" s="147"/>
      <c r="F389" s="147"/>
      <c r="G389" s="147"/>
      <c r="H389" s="146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6"/>
    </row>
    <row r="390">
      <c r="A390" s="146"/>
      <c r="B390" s="147"/>
      <c r="C390" s="147"/>
      <c r="D390" s="148"/>
      <c r="E390" s="147"/>
      <c r="F390" s="147"/>
      <c r="G390" s="147"/>
      <c r="H390" s="146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6"/>
    </row>
    <row r="391">
      <c r="A391" s="146"/>
      <c r="B391" s="147"/>
      <c r="C391" s="147"/>
      <c r="D391" s="148"/>
      <c r="E391" s="147"/>
      <c r="F391" s="147"/>
      <c r="G391" s="147"/>
      <c r="H391" s="146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6"/>
    </row>
    <row r="392">
      <c r="A392" s="146"/>
      <c r="B392" s="147"/>
      <c r="C392" s="147"/>
      <c r="D392" s="148"/>
      <c r="E392" s="147"/>
      <c r="F392" s="147"/>
      <c r="G392" s="147"/>
      <c r="H392" s="146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6"/>
    </row>
    <row r="393">
      <c r="A393" s="146"/>
      <c r="B393" s="147"/>
      <c r="C393" s="147"/>
      <c r="D393" s="148"/>
      <c r="E393" s="147"/>
      <c r="F393" s="147"/>
      <c r="G393" s="147"/>
      <c r="H393" s="146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6"/>
    </row>
    <row r="394">
      <c r="A394" s="146"/>
      <c r="B394" s="147"/>
      <c r="C394" s="147"/>
      <c r="D394" s="148"/>
      <c r="E394" s="147"/>
      <c r="F394" s="147"/>
      <c r="G394" s="147"/>
      <c r="H394" s="146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6"/>
    </row>
    <row r="395">
      <c r="A395" s="146"/>
      <c r="B395" s="147"/>
      <c r="C395" s="147"/>
      <c r="D395" s="148"/>
      <c r="E395" s="147"/>
      <c r="F395" s="147"/>
      <c r="G395" s="147"/>
      <c r="H395" s="146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6"/>
    </row>
    <row r="396">
      <c r="A396" s="146"/>
      <c r="B396" s="147"/>
      <c r="C396" s="147"/>
      <c r="D396" s="148"/>
      <c r="E396" s="147"/>
      <c r="F396" s="147"/>
      <c r="G396" s="147"/>
      <c r="H396" s="146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6"/>
    </row>
    <row r="397">
      <c r="A397" s="146"/>
      <c r="B397" s="147"/>
      <c r="C397" s="147"/>
      <c r="D397" s="148"/>
      <c r="E397" s="147"/>
      <c r="F397" s="147"/>
      <c r="G397" s="147"/>
      <c r="H397" s="146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6"/>
    </row>
    <row r="398">
      <c r="A398" s="146"/>
      <c r="B398" s="147"/>
      <c r="C398" s="147"/>
      <c r="D398" s="148"/>
      <c r="E398" s="147"/>
      <c r="F398" s="147"/>
      <c r="G398" s="147"/>
      <c r="H398" s="146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6"/>
    </row>
    <row r="399">
      <c r="A399" s="146"/>
      <c r="B399" s="147"/>
      <c r="C399" s="147"/>
      <c r="D399" s="148"/>
      <c r="E399" s="147"/>
      <c r="F399" s="147"/>
      <c r="G399" s="147"/>
      <c r="H399" s="146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6"/>
    </row>
    <row r="400">
      <c r="A400" s="146"/>
      <c r="B400" s="147"/>
      <c r="C400" s="147"/>
      <c r="D400" s="148"/>
      <c r="E400" s="147"/>
      <c r="F400" s="147"/>
      <c r="G400" s="147"/>
      <c r="H400" s="146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6"/>
    </row>
    <row r="401">
      <c r="A401" s="146"/>
      <c r="B401" s="147"/>
      <c r="C401" s="147"/>
      <c r="D401" s="148"/>
      <c r="E401" s="147"/>
      <c r="F401" s="147"/>
      <c r="G401" s="147"/>
      <c r="H401" s="146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6"/>
    </row>
    <row r="402">
      <c r="A402" s="146"/>
      <c r="B402" s="147"/>
      <c r="C402" s="147"/>
      <c r="D402" s="148"/>
      <c r="E402" s="147"/>
      <c r="F402" s="147"/>
      <c r="G402" s="147"/>
      <c r="H402" s="146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6"/>
    </row>
    <row r="403">
      <c r="A403" s="146"/>
      <c r="B403" s="147"/>
      <c r="C403" s="147"/>
      <c r="D403" s="148"/>
      <c r="E403" s="147"/>
      <c r="F403" s="147"/>
      <c r="G403" s="147"/>
      <c r="H403" s="146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6"/>
    </row>
    <row r="404">
      <c r="A404" s="146"/>
      <c r="B404" s="147"/>
      <c r="C404" s="147"/>
      <c r="D404" s="148"/>
      <c r="E404" s="147"/>
      <c r="F404" s="147"/>
      <c r="G404" s="147"/>
      <c r="H404" s="146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6"/>
    </row>
    <row r="405">
      <c r="A405" s="146"/>
      <c r="B405" s="147"/>
      <c r="C405" s="147"/>
      <c r="D405" s="148"/>
      <c r="E405" s="147"/>
      <c r="F405" s="147"/>
      <c r="G405" s="147"/>
      <c r="H405" s="146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6"/>
    </row>
    <row r="406">
      <c r="A406" s="146"/>
      <c r="B406" s="147"/>
      <c r="C406" s="147"/>
      <c r="D406" s="148"/>
      <c r="E406" s="147"/>
      <c r="F406" s="147"/>
      <c r="G406" s="147"/>
      <c r="H406" s="146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6"/>
    </row>
    <row r="407">
      <c r="A407" s="146"/>
      <c r="B407" s="147"/>
      <c r="C407" s="147"/>
      <c r="D407" s="148"/>
      <c r="E407" s="147"/>
      <c r="F407" s="147"/>
      <c r="G407" s="147"/>
      <c r="H407" s="146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6"/>
    </row>
    <row r="408">
      <c r="A408" s="146"/>
      <c r="B408" s="147"/>
      <c r="C408" s="147"/>
      <c r="D408" s="148"/>
      <c r="E408" s="147"/>
      <c r="F408" s="147"/>
      <c r="G408" s="147"/>
      <c r="H408" s="146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6"/>
    </row>
    <row r="409">
      <c r="A409" s="146"/>
      <c r="B409" s="147"/>
      <c r="C409" s="147"/>
      <c r="D409" s="148"/>
      <c r="E409" s="147"/>
      <c r="F409" s="147"/>
      <c r="G409" s="147"/>
      <c r="H409" s="146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6"/>
    </row>
    <row r="410">
      <c r="A410" s="146"/>
      <c r="B410" s="147"/>
      <c r="C410" s="147"/>
      <c r="D410" s="148"/>
      <c r="E410" s="147"/>
      <c r="F410" s="147"/>
      <c r="G410" s="147"/>
      <c r="H410" s="146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6"/>
    </row>
    <row r="411">
      <c r="A411" s="146"/>
      <c r="B411" s="147"/>
      <c r="C411" s="147"/>
      <c r="D411" s="148"/>
      <c r="E411" s="147"/>
      <c r="F411" s="147"/>
      <c r="G411" s="147"/>
      <c r="H411" s="146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6"/>
    </row>
    <row r="412">
      <c r="A412" s="146"/>
      <c r="B412" s="147"/>
      <c r="C412" s="147"/>
      <c r="D412" s="148"/>
      <c r="E412" s="147"/>
      <c r="F412" s="147"/>
      <c r="G412" s="147"/>
      <c r="H412" s="146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6"/>
    </row>
    <row r="413">
      <c r="A413" s="146"/>
      <c r="B413" s="147"/>
      <c r="C413" s="147"/>
      <c r="D413" s="148"/>
      <c r="E413" s="147"/>
      <c r="F413" s="147"/>
      <c r="G413" s="147"/>
      <c r="H413" s="146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6"/>
    </row>
    <row r="414">
      <c r="A414" s="146"/>
      <c r="B414" s="147"/>
      <c r="C414" s="147"/>
      <c r="D414" s="148"/>
      <c r="E414" s="147"/>
      <c r="F414" s="147"/>
      <c r="G414" s="147"/>
      <c r="H414" s="146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6"/>
    </row>
    <row r="415">
      <c r="A415" s="146"/>
      <c r="B415" s="147"/>
      <c r="C415" s="147"/>
      <c r="D415" s="148"/>
      <c r="E415" s="147"/>
      <c r="F415" s="147"/>
      <c r="G415" s="147"/>
      <c r="H415" s="146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6"/>
    </row>
    <row r="416">
      <c r="A416" s="146"/>
      <c r="B416" s="147"/>
      <c r="C416" s="147"/>
      <c r="D416" s="148"/>
      <c r="E416" s="147"/>
      <c r="F416" s="147"/>
      <c r="G416" s="147"/>
      <c r="H416" s="146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6"/>
    </row>
    <row r="417">
      <c r="A417" s="146"/>
      <c r="B417" s="147"/>
      <c r="C417" s="147"/>
      <c r="D417" s="148"/>
      <c r="E417" s="147"/>
      <c r="F417" s="147"/>
      <c r="G417" s="147"/>
      <c r="H417" s="146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6"/>
    </row>
    <row r="418">
      <c r="A418" s="146"/>
      <c r="B418" s="147"/>
      <c r="C418" s="147"/>
      <c r="D418" s="148"/>
      <c r="E418" s="147"/>
      <c r="F418" s="147"/>
      <c r="G418" s="147"/>
      <c r="H418" s="146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6"/>
    </row>
    <row r="419">
      <c r="A419" s="146"/>
      <c r="B419" s="147"/>
      <c r="C419" s="147"/>
      <c r="D419" s="148"/>
      <c r="E419" s="147"/>
      <c r="F419" s="147"/>
      <c r="G419" s="147"/>
      <c r="H419" s="146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6"/>
    </row>
    <row r="420">
      <c r="A420" s="146"/>
      <c r="B420" s="147"/>
      <c r="C420" s="147"/>
      <c r="D420" s="148"/>
      <c r="E420" s="147"/>
      <c r="F420" s="147"/>
      <c r="G420" s="147"/>
      <c r="H420" s="146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6"/>
    </row>
    <row r="421">
      <c r="A421" s="146"/>
      <c r="B421" s="147"/>
      <c r="C421" s="147"/>
      <c r="D421" s="148"/>
      <c r="E421" s="147"/>
      <c r="F421" s="147"/>
      <c r="G421" s="147"/>
      <c r="H421" s="146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6"/>
    </row>
    <row r="422">
      <c r="A422" s="146"/>
      <c r="B422" s="147"/>
      <c r="C422" s="147"/>
      <c r="D422" s="148"/>
      <c r="E422" s="147"/>
      <c r="F422" s="147"/>
      <c r="G422" s="147"/>
      <c r="H422" s="146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6"/>
    </row>
    <row r="423">
      <c r="A423" s="146"/>
      <c r="B423" s="147"/>
      <c r="C423" s="147"/>
      <c r="D423" s="148"/>
      <c r="E423" s="147"/>
      <c r="F423" s="147"/>
      <c r="G423" s="147"/>
      <c r="H423" s="146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6"/>
    </row>
    <row r="424">
      <c r="A424" s="146"/>
      <c r="B424" s="147"/>
      <c r="C424" s="147"/>
      <c r="D424" s="148"/>
      <c r="E424" s="147"/>
      <c r="F424" s="147"/>
      <c r="G424" s="147"/>
      <c r="H424" s="146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6"/>
    </row>
    <row r="425">
      <c r="A425" s="146"/>
      <c r="B425" s="147"/>
      <c r="C425" s="147"/>
      <c r="D425" s="148"/>
      <c r="E425" s="147"/>
      <c r="F425" s="147"/>
      <c r="G425" s="147"/>
      <c r="H425" s="146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6"/>
    </row>
    <row r="426">
      <c r="A426" s="146"/>
      <c r="B426" s="147"/>
      <c r="C426" s="147"/>
      <c r="D426" s="148"/>
      <c r="E426" s="147"/>
      <c r="F426" s="147"/>
      <c r="G426" s="147"/>
      <c r="H426" s="146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6"/>
    </row>
    <row r="427">
      <c r="A427" s="146"/>
      <c r="B427" s="147"/>
      <c r="C427" s="147"/>
      <c r="D427" s="148"/>
      <c r="E427" s="147"/>
      <c r="F427" s="147"/>
      <c r="G427" s="147"/>
      <c r="H427" s="146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6"/>
    </row>
    <row r="428">
      <c r="A428" s="146"/>
      <c r="B428" s="147"/>
      <c r="C428" s="147"/>
      <c r="D428" s="148"/>
      <c r="E428" s="147"/>
      <c r="F428" s="147"/>
      <c r="G428" s="147"/>
      <c r="H428" s="146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6"/>
    </row>
    <row r="429">
      <c r="A429" s="146"/>
      <c r="B429" s="147"/>
      <c r="C429" s="147"/>
      <c r="D429" s="148"/>
      <c r="E429" s="147"/>
      <c r="F429" s="147"/>
      <c r="G429" s="147"/>
      <c r="H429" s="146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6"/>
    </row>
    <row r="430">
      <c r="A430" s="146"/>
      <c r="B430" s="147"/>
      <c r="C430" s="147"/>
      <c r="D430" s="148"/>
      <c r="E430" s="147"/>
      <c r="F430" s="147"/>
      <c r="G430" s="147"/>
      <c r="H430" s="146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6"/>
    </row>
    <row r="431">
      <c r="A431" s="146"/>
      <c r="B431" s="147"/>
      <c r="C431" s="147"/>
      <c r="D431" s="148"/>
      <c r="E431" s="147"/>
      <c r="F431" s="147"/>
      <c r="G431" s="147"/>
      <c r="H431" s="146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6"/>
    </row>
    <row r="432">
      <c r="A432" s="146"/>
      <c r="B432" s="147"/>
      <c r="C432" s="147"/>
      <c r="D432" s="148"/>
      <c r="E432" s="147"/>
      <c r="F432" s="147"/>
      <c r="G432" s="147"/>
      <c r="H432" s="146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6"/>
    </row>
    <row r="433">
      <c r="A433" s="146"/>
      <c r="B433" s="147"/>
      <c r="C433" s="147"/>
      <c r="D433" s="148"/>
      <c r="E433" s="147"/>
      <c r="F433" s="147"/>
      <c r="G433" s="147"/>
      <c r="H433" s="146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6"/>
    </row>
    <row r="434">
      <c r="A434" s="146"/>
      <c r="B434" s="147"/>
      <c r="C434" s="147"/>
      <c r="D434" s="148"/>
      <c r="E434" s="147"/>
      <c r="F434" s="147"/>
      <c r="G434" s="147"/>
      <c r="H434" s="146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6"/>
    </row>
    <row r="435">
      <c r="A435" s="146"/>
      <c r="B435" s="147"/>
      <c r="C435" s="147"/>
      <c r="D435" s="148"/>
      <c r="E435" s="147"/>
      <c r="F435" s="147"/>
      <c r="G435" s="147"/>
      <c r="H435" s="146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6"/>
    </row>
    <row r="436">
      <c r="A436" s="146"/>
      <c r="B436" s="147"/>
      <c r="C436" s="147"/>
      <c r="D436" s="148"/>
      <c r="E436" s="147"/>
      <c r="F436" s="147"/>
      <c r="G436" s="147"/>
      <c r="H436" s="146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6"/>
    </row>
    <row r="437">
      <c r="A437" s="146"/>
      <c r="B437" s="147"/>
      <c r="C437" s="147"/>
      <c r="D437" s="148"/>
      <c r="E437" s="147"/>
      <c r="F437" s="147"/>
      <c r="G437" s="147"/>
      <c r="H437" s="146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6"/>
    </row>
    <row r="438">
      <c r="A438" s="146"/>
      <c r="B438" s="147"/>
      <c r="C438" s="147"/>
      <c r="D438" s="148"/>
      <c r="E438" s="147"/>
      <c r="F438" s="147"/>
      <c r="G438" s="147"/>
      <c r="H438" s="146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6"/>
    </row>
    <row r="439">
      <c r="A439" s="146"/>
      <c r="B439" s="147"/>
      <c r="C439" s="147"/>
      <c r="D439" s="148"/>
      <c r="E439" s="147"/>
      <c r="F439" s="147"/>
      <c r="G439" s="147"/>
      <c r="H439" s="146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6"/>
    </row>
    <row r="440">
      <c r="A440" s="146"/>
      <c r="B440" s="147"/>
      <c r="C440" s="147"/>
      <c r="D440" s="148"/>
      <c r="E440" s="147"/>
      <c r="F440" s="147"/>
      <c r="G440" s="147"/>
      <c r="H440" s="146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6"/>
    </row>
    <row r="441">
      <c r="A441" s="146"/>
      <c r="B441" s="147"/>
      <c r="C441" s="147"/>
      <c r="D441" s="148"/>
      <c r="E441" s="147"/>
      <c r="F441" s="147"/>
      <c r="G441" s="147"/>
      <c r="H441" s="146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6"/>
    </row>
    <row r="442">
      <c r="A442" s="146"/>
      <c r="B442" s="147"/>
      <c r="C442" s="147"/>
      <c r="D442" s="148"/>
      <c r="E442" s="147"/>
      <c r="F442" s="147"/>
      <c r="G442" s="147"/>
      <c r="H442" s="146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6"/>
    </row>
    <row r="443">
      <c r="A443" s="146"/>
      <c r="B443" s="147"/>
      <c r="C443" s="147"/>
      <c r="D443" s="148"/>
      <c r="E443" s="147"/>
      <c r="F443" s="147"/>
      <c r="G443" s="147"/>
      <c r="H443" s="146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6"/>
    </row>
    <row r="444">
      <c r="A444" s="146"/>
      <c r="B444" s="147"/>
      <c r="C444" s="147"/>
      <c r="D444" s="148"/>
      <c r="E444" s="147"/>
      <c r="F444" s="147"/>
      <c r="G444" s="147"/>
      <c r="H444" s="146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6"/>
    </row>
    <row r="445">
      <c r="A445" s="146"/>
      <c r="B445" s="147"/>
      <c r="C445" s="147"/>
      <c r="D445" s="148"/>
      <c r="E445" s="147"/>
      <c r="F445" s="147"/>
      <c r="G445" s="147"/>
      <c r="H445" s="146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6"/>
    </row>
    <row r="446">
      <c r="A446" s="146"/>
      <c r="B446" s="147"/>
      <c r="C446" s="147"/>
      <c r="D446" s="148"/>
      <c r="E446" s="147"/>
      <c r="F446" s="147"/>
      <c r="G446" s="147"/>
      <c r="H446" s="146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6"/>
    </row>
    <row r="447">
      <c r="A447" s="146"/>
      <c r="B447" s="147"/>
      <c r="C447" s="147"/>
      <c r="D447" s="148"/>
      <c r="E447" s="147"/>
      <c r="F447" s="147"/>
      <c r="G447" s="147"/>
      <c r="H447" s="146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6"/>
    </row>
    <row r="448">
      <c r="A448" s="146"/>
      <c r="B448" s="147"/>
      <c r="C448" s="147"/>
      <c r="D448" s="148"/>
      <c r="E448" s="147"/>
      <c r="F448" s="147"/>
      <c r="G448" s="147"/>
      <c r="H448" s="146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6"/>
    </row>
    <row r="449">
      <c r="A449" s="146"/>
      <c r="B449" s="147"/>
      <c r="C449" s="147"/>
      <c r="D449" s="148"/>
      <c r="E449" s="147"/>
      <c r="F449" s="147"/>
      <c r="G449" s="147"/>
      <c r="H449" s="146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6"/>
    </row>
    <row r="450">
      <c r="A450" s="146"/>
      <c r="B450" s="147"/>
      <c r="C450" s="147"/>
      <c r="D450" s="148"/>
      <c r="E450" s="147"/>
      <c r="F450" s="147"/>
      <c r="G450" s="147"/>
      <c r="H450" s="146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6"/>
    </row>
    <row r="451">
      <c r="A451" s="146"/>
      <c r="B451" s="147"/>
      <c r="C451" s="147"/>
      <c r="D451" s="148"/>
      <c r="E451" s="147"/>
      <c r="F451" s="147"/>
      <c r="G451" s="147"/>
      <c r="H451" s="146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6"/>
    </row>
    <row r="452">
      <c r="A452" s="146"/>
      <c r="B452" s="147"/>
      <c r="C452" s="147"/>
      <c r="D452" s="148"/>
      <c r="E452" s="147"/>
      <c r="F452" s="147"/>
      <c r="G452" s="147"/>
      <c r="H452" s="146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6"/>
    </row>
    <row r="453">
      <c r="A453" s="146"/>
      <c r="B453" s="147"/>
      <c r="C453" s="147"/>
      <c r="D453" s="148"/>
      <c r="E453" s="147"/>
      <c r="F453" s="147"/>
      <c r="G453" s="147"/>
      <c r="H453" s="146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6"/>
    </row>
    <row r="454">
      <c r="A454" s="146"/>
      <c r="B454" s="147"/>
      <c r="C454" s="147"/>
      <c r="D454" s="148"/>
      <c r="E454" s="147"/>
      <c r="F454" s="147"/>
      <c r="G454" s="147"/>
      <c r="H454" s="146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6"/>
    </row>
    <row r="455">
      <c r="A455" s="146"/>
      <c r="B455" s="147"/>
      <c r="C455" s="147"/>
      <c r="D455" s="148"/>
      <c r="E455" s="147"/>
      <c r="F455" s="147"/>
      <c r="G455" s="147"/>
      <c r="H455" s="146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6"/>
    </row>
    <row r="456">
      <c r="A456" s="146"/>
      <c r="B456" s="147"/>
      <c r="C456" s="147"/>
      <c r="D456" s="148"/>
      <c r="E456" s="147"/>
      <c r="F456" s="147"/>
      <c r="G456" s="147"/>
      <c r="H456" s="146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6"/>
    </row>
    <row r="457">
      <c r="A457" s="146"/>
      <c r="B457" s="147"/>
      <c r="C457" s="147"/>
      <c r="D457" s="148"/>
      <c r="E457" s="147"/>
      <c r="F457" s="147"/>
      <c r="G457" s="147"/>
      <c r="H457" s="146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6"/>
    </row>
    <row r="458">
      <c r="A458" s="146"/>
      <c r="B458" s="147"/>
      <c r="C458" s="147"/>
      <c r="D458" s="148"/>
      <c r="E458" s="147"/>
      <c r="F458" s="147"/>
      <c r="G458" s="147"/>
      <c r="H458" s="146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6"/>
    </row>
    <row r="459">
      <c r="A459" s="146"/>
      <c r="B459" s="147"/>
      <c r="C459" s="147"/>
      <c r="D459" s="148"/>
      <c r="E459" s="147"/>
      <c r="F459" s="147"/>
      <c r="G459" s="147"/>
      <c r="H459" s="146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6"/>
    </row>
    <row r="460">
      <c r="A460" s="146"/>
      <c r="B460" s="147"/>
      <c r="C460" s="147"/>
      <c r="D460" s="148"/>
      <c r="E460" s="147"/>
      <c r="F460" s="147"/>
      <c r="G460" s="147"/>
      <c r="H460" s="146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6"/>
    </row>
    <row r="461">
      <c r="A461" s="146"/>
      <c r="B461" s="147"/>
      <c r="C461" s="147"/>
      <c r="D461" s="148"/>
      <c r="E461" s="147"/>
      <c r="F461" s="147"/>
      <c r="G461" s="147"/>
      <c r="H461" s="146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6"/>
    </row>
    <row r="462">
      <c r="A462" s="146"/>
      <c r="B462" s="147"/>
      <c r="C462" s="147"/>
      <c r="D462" s="148"/>
      <c r="E462" s="147"/>
      <c r="F462" s="147"/>
      <c r="G462" s="147"/>
      <c r="H462" s="146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6"/>
    </row>
    <row r="463">
      <c r="A463" s="146"/>
      <c r="B463" s="147"/>
      <c r="C463" s="147"/>
      <c r="D463" s="148"/>
      <c r="E463" s="147"/>
      <c r="F463" s="147"/>
      <c r="G463" s="147"/>
      <c r="H463" s="146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6"/>
    </row>
    <row r="464">
      <c r="A464" s="146"/>
      <c r="B464" s="147"/>
      <c r="C464" s="147"/>
      <c r="D464" s="148"/>
      <c r="E464" s="147"/>
      <c r="F464" s="147"/>
      <c r="G464" s="147"/>
      <c r="H464" s="146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6"/>
    </row>
    <row r="465">
      <c r="A465" s="146"/>
      <c r="B465" s="147"/>
      <c r="C465" s="147"/>
      <c r="D465" s="148"/>
      <c r="E465" s="147"/>
      <c r="F465" s="147"/>
      <c r="G465" s="147"/>
      <c r="H465" s="146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6"/>
    </row>
    <row r="466">
      <c r="A466" s="146"/>
      <c r="B466" s="147"/>
      <c r="C466" s="147"/>
      <c r="D466" s="148"/>
      <c r="E466" s="147"/>
      <c r="F466" s="147"/>
      <c r="G466" s="147"/>
      <c r="H466" s="146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6"/>
    </row>
    <row r="467">
      <c r="A467" s="146"/>
      <c r="B467" s="147"/>
      <c r="C467" s="147"/>
      <c r="D467" s="148"/>
      <c r="E467" s="147"/>
      <c r="F467" s="147"/>
      <c r="G467" s="147"/>
      <c r="H467" s="146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6"/>
    </row>
    <row r="468">
      <c r="A468" s="146"/>
      <c r="B468" s="147"/>
      <c r="C468" s="147"/>
      <c r="D468" s="148"/>
      <c r="E468" s="147"/>
      <c r="F468" s="147"/>
      <c r="G468" s="147"/>
      <c r="H468" s="146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6"/>
    </row>
    <row r="469">
      <c r="A469" s="146"/>
      <c r="B469" s="147"/>
      <c r="C469" s="147"/>
      <c r="D469" s="148"/>
      <c r="E469" s="147"/>
      <c r="F469" s="147"/>
      <c r="G469" s="147"/>
      <c r="H469" s="146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6"/>
    </row>
    <row r="470">
      <c r="A470" s="146"/>
      <c r="B470" s="147"/>
      <c r="C470" s="147"/>
      <c r="D470" s="148"/>
      <c r="E470" s="147"/>
      <c r="F470" s="147"/>
      <c r="G470" s="147"/>
      <c r="H470" s="146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6"/>
    </row>
    <row r="471">
      <c r="A471" s="146"/>
      <c r="B471" s="147"/>
      <c r="C471" s="147"/>
      <c r="D471" s="148"/>
      <c r="E471" s="147"/>
      <c r="F471" s="147"/>
      <c r="G471" s="147"/>
      <c r="H471" s="146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6"/>
    </row>
    <row r="472">
      <c r="A472" s="146"/>
      <c r="B472" s="147"/>
      <c r="C472" s="147"/>
      <c r="D472" s="148"/>
      <c r="E472" s="147"/>
      <c r="F472" s="147"/>
      <c r="G472" s="147"/>
      <c r="H472" s="146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6"/>
    </row>
    <row r="473">
      <c r="A473" s="146"/>
      <c r="B473" s="147"/>
      <c r="C473" s="147"/>
      <c r="D473" s="148"/>
      <c r="E473" s="147"/>
      <c r="F473" s="147"/>
      <c r="G473" s="147"/>
      <c r="H473" s="146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6"/>
    </row>
    <row r="474">
      <c r="A474" s="146"/>
      <c r="B474" s="147"/>
      <c r="C474" s="147"/>
      <c r="D474" s="148"/>
      <c r="E474" s="147"/>
      <c r="F474" s="147"/>
      <c r="G474" s="147"/>
      <c r="H474" s="146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6"/>
    </row>
    <row r="475">
      <c r="A475" s="146"/>
      <c r="B475" s="147"/>
      <c r="C475" s="147"/>
      <c r="D475" s="148"/>
      <c r="E475" s="147"/>
      <c r="F475" s="147"/>
      <c r="G475" s="147"/>
      <c r="H475" s="146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6"/>
    </row>
    <row r="476">
      <c r="A476" s="146"/>
      <c r="B476" s="147"/>
      <c r="C476" s="147"/>
      <c r="D476" s="148"/>
      <c r="E476" s="147"/>
      <c r="F476" s="147"/>
      <c r="G476" s="147"/>
      <c r="H476" s="146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6"/>
    </row>
    <row r="477">
      <c r="A477" s="146"/>
      <c r="B477" s="147"/>
      <c r="C477" s="147"/>
      <c r="D477" s="148"/>
      <c r="E477" s="147"/>
      <c r="F477" s="147"/>
      <c r="G477" s="147"/>
      <c r="H477" s="146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6"/>
    </row>
    <row r="478">
      <c r="A478" s="146"/>
      <c r="B478" s="147"/>
      <c r="C478" s="147"/>
      <c r="D478" s="148"/>
      <c r="E478" s="147"/>
      <c r="F478" s="147"/>
      <c r="G478" s="147"/>
      <c r="H478" s="146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6"/>
    </row>
    <row r="479">
      <c r="A479" s="146"/>
      <c r="B479" s="147"/>
      <c r="C479" s="147"/>
      <c r="D479" s="148"/>
      <c r="E479" s="147"/>
      <c r="F479" s="147"/>
      <c r="G479" s="147"/>
      <c r="H479" s="146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6"/>
    </row>
    <row r="480">
      <c r="A480" s="146"/>
      <c r="B480" s="147"/>
      <c r="C480" s="147"/>
      <c r="D480" s="148"/>
      <c r="E480" s="147"/>
      <c r="F480" s="147"/>
      <c r="G480" s="147"/>
      <c r="H480" s="146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6"/>
    </row>
    <row r="481">
      <c r="A481" s="146"/>
      <c r="B481" s="147"/>
      <c r="C481" s="147"/>
      <c r="D481" s="148"/>
      <c r="E481" s="147"/>
      <c r="F481" s="147"/>
      <c r="G481" s="147"/>
      <c r="H481" s="146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6"/>
    </row>
    <row r="482">
      <c r="A482" s="146"/>
      <c r="B482" s="147"/>
      <c r="C482" s="147"/>
      <c r="D482" s="148"/>
      <c r="E482" s="147"/>
      <c r="F482" s="147"/>
      <c r="G482" s="147"/>
      <c r="H482" s="146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6"/>
    </row>
    <row r="483">
      <c r="A483" s="146"/>
      <c r="B483" s="147"/>
      <c r="C483" s="147"/>
      <c r="D483" s="148"/>
      <c r="E483" s="147"/>
      <c r="F483" s="147"/>
      <c r="G483" s="147"/>
      <c r="H483" s="146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6"/>
    </row>
    <row r="484">
      <c r="A484" s="146"/>
      <c r="B484" s="147"/>
      <c r="C484" s="147"/>
      <c r="D484" s="148"/>
      <c r="E484" s="147"/>
      <c r="F484" s="147"/>
      <c r="G484" s="147"/>
      <c r="H484" s="146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6"/>
    </row>
    <row r="485">
      <c r="A485" s="146"/>
      <c r="B485" s="147"/>
      <c r="C485" s="147"/>
      <c r="D485" s="148"/>
      <c r="E485" s="147"/>
      <c r="F485" s="147"/>
      <c r="G485" s="147"/>
      <c r="H485" s="146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6"/>
    </row>
    <row r="486">
      <c r="A486" s="146"/>
      <c r="B486" s="147"/>
      <c r="C486" s="147"/>
      <c r="D486" s="148"/>
      <c r="E486" s="147"/>
      <c r="F486" s="147"/>
      <c r="G486" s="147"/>
      <c r="H486" s="146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6"/>
    </row>
    <row r="487">
      <c r="A487" s="146"/>
      <c r="B487" s="147"/>
      <c r="C487" s="147"/>
      <c r="D487" s="148"/>
      <c r="E487" s="147"/>
      <c r="F487" s="147"/>
      <c r="G487" s="147"/>
      <c r="H487" s="146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6"/>
    </row>
    <row r="488">
      <c r="A488" s="146"/>
      <c r="B488" s="147"/>
      <c r="C488" s="147"/>
      <c r="D488" s="148"/>
      <c r="E488" s="147"/>
      <c r="F488" s="147"/>
      <c r="G488" s="147"/>
      <c r="H488" s="146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6"/>
    </row>
    <row r="489">
      <c r="A489" s="146"/>
      <c r="B489" s="147"/>
      <c r="C489" s="147"/>
      <c r="D489" s="148"/>
      <c r="E489" s="147"/>
      <c r="F489" s="147"/>
      <c r="G489" s="147"/>
      <c r="H489" s="146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6"/>
    </row>
    <row r="490">
      <c r="A490" s="146"/>
      <c r="B490" s="147"/>
      <c r="C490" s="147"/>
      <c r="D490" s="148"/>
      <c r="E490" s="147"/>
      <c r="F490" s="147"/>
      <c r="G490" s="147"/>
      <c r="H490" s="146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6"/>
    </row>
    <row r="491">
      <c r="A491" s="146"/>
      <c r="B491" s="147"/>
      <c r="C491" s="147"/>
      <c r="D491" s="148"/>
      <c r="E491" s="147"/>
      <c r="F491" s="147"/>
      <c r="G491" s="147"/>
      <c r="H491" s="146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6"/>
    </row>
    <row r="492">
      <c r="A492" s="146"/>
      <c r="B492" s="147"/>
      <c r="C492" s="147"/>
      <c r="D492" s="148"/>
      <c r="E492" s="147"/>
      <c r="F492" s="147"/>
      <c r="G492" s="147"/>
      <c r="H492" s="146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6"/>
    </row>
    <row r="493">
      <c r="A493" s="146"/>
      <c r="B493" s="147"/>
      <c r="C493" s="147"/>
      <c r="D493" s="148"/>
      <c r="E493" s="147"/>
      <c r="F493" s="147"/>
      <c r="G493" s="147"/>
      <c r="H493" s="146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6"/>
    </row>
    <row r="494">
      <c r="A494" s="146"/>
      <c r="B494" s="147"/>
      <c r="C494" s="147"/>
      <c r="D494" s="148"/>
      <c r="E494" s="147"/>
      <c r="F494" s="147"/>
      <c r="G494" s="147"/>
      <c r="H494" s="146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6"/>
    </row>
    <row r="495">
      <c r="A495" s="146"/>
      <c r="B495" s="147"/>
      <c r="C495" s="147"/>
      <c r="D495" s="148"/>
      <c r="E495" s="147"/>
      <c r="F495" s="147"/>
      <c r="G495" s="147"/>
      <c r="H495" s="146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6"/>
    </row>
    <row r="496">
      <c r="A496" s="146"/>
      <c r="B496" s="147"/>
      <c r="C496" s="147"/>
      <c r="D496" s="148"/>
      <c r="E496" s="147"/>
      <c r="F496" s="147"/>
      <c r="G496" s="147"/>
      <c r="H496" s="146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6"/>
    </row>
    <row r="497">
      <c r="A497" s="146"/>
      <c r="B497" s="147"/>
      <c r="C497" s="147"/>
      <c r="D497" s="148"/>
      <c r="E497" s="147"/>
      <c r="F497" s="147"/>
      <c r="G497" s="147"/>
      <c r="H497" s="146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6"/>
    </row>
    <row r="498">
      <c r="A498" s="146"/>
      <c r="B498" s="147"/>
      <c r="C498" s="147"/>
      <c r="D498" s="148"/>
      <c r="E498" s="147"/>
      <c r="F498" s="147"/>
      <c r="G498" s="147"/>
      <c r="H498" s="146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6"/>
    </row>
    <row r="499">
      <c r="A499" s="146"/>
      <c r="B499" s="147"/>
      <c r="C499" s="147"/>
      <c r="D499" s="148"/>
      <c r="E499" s="147"/>
      <c r="F499" s="147"/>
      <c r="G499" s="147"/>
      <c r="H499" s="146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6"/>
    </row>
    <row r="500">
      <c r="A500" s="146"/>
      <c r="B500" s="147"/>
      <c r="C500" s="147"/>
      <c r="D500" s="148"/>
      <c r="E500" s="147"/>
      <c r="F500" s="147"/>
      <c r="G500" s="147"/>
      <c r="H500" s="146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6"/>
    </row>
    <row r="501">
      <c r="A501" s="146"/>
      <c r="B501" s="147"/>
      <c r="C501" s="147"/>
      <c r="D501" s="148"/>
      <c r="E501" s="147"/>
      <c r="F501" s="147"/>
      <c r="G501" s="147"/>
      <c r="H501" s="146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6"/>
    </row>
    <row r="502">
      <c r="A502" s="146"/>
      <c r="B502" s="147"/>
      <c r="C502" s="147"/>
      <c r="D502" s="148"/>
      <c r="E502" s="147"/>
      <c r="F502" s="147"/>
      <c r="G502" s="147"/>
      <c r="H502" s="146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6"/>
    </row>
    <row r="503">
      <c r="A503" s="146"/>
      <c r="B503" s="147"/>
      <c r="C503" s="147"/>
      <c r="D503" s="148"/>
      <c r="E503" s="147"/>
      <c r="F503" s="147"/>
      <c r="G503" s="147"/>
      <c r="H503" s="146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6"/>
    </row>
    <row r="504">
      <c r="A504" s="146"/>
      <c r="B504" s="147"/>
      <c r="C504" s="147"/>
      <c r="D504" s="148"/>
      <c r="E504" s="147"/>
      <c r="F504" s="147"/>
      <c r="G504" s="147"/>
      <c r="H504" s="146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6"/>
    </row>
    <row r="505">
      <c r="A505" s="146"/>
      <c r="B505" s="147"/>
      <c r="C505" s="147"/>
      <c r="D505" s="148"/>
      <c r="E505" s="147"/>
      <c r="F505" s="147"/>
      <c r="G505" s="147"/>
      <c r="H505" s="146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6"/>
    </row>
    <row r="506">
      <c r="A506" s="146"/>
      <c r="B506" s="147"/>
      <c r="C506" s="147"/>
      <c r="D506" s="148"/>
      <c r="E506" s="147"/>
      <c r="F506" s="147"/>
      <c r="G506" s="147"/>
      <c r="H506" s="146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6"/>
    </row>
    <row r="507">
      <c r="A507" s="146"/>
      <c r="B507" s="147"/>
      <c r="C507" s="147"/>
      <c r="D507" s="148"/>
      <c r="E507" s="147"/>
      <c r="F507" s="147"/>
      <c r="G507" s="147"/>
      <c r="H507" s="146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6"/>
    </row>
    <row r="508">
      <c r="A508" s="146"/>
      <c r="B508" s="147"/>
      <c r="C508" s="147"/>
      <c r="D508" s="148"/>
      <c r="E508" s="147"/>
      <c r="F508" s="147"/>
      <c r="G508" s="147"/>
      <c r="H508" s="146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6"/>
    </row>
    <row r="509">
      <c r="A509" s="146"/>
      <c r="B509" s="147"/>
      <c r="C509" s="147"/>
      <c r="D509" s="148"/>
      <c r="E509" s="147"/>
      <c r="F509" s="147"/>
      <c r="G509" s="147"/>
      <c r="H509" s="146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6"/>
    </row>
    <row r="510">
      <c r="A510" s="146"/>
      <c r="B510" s="147"/>
      <c r="C510" s="147"/>
      <c r="D510" s="148"/>
      <c r="E510" s="147"/>
      <c r="F510" s="147"/>
      <c r="G510" s="147"/>
      <c r="H510" s="146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6"/>
    </row>
    <row r="511">
      <c r="A511" s="146"/>
      <c r="B511" s="147"/>
      <c r="C511" s="147"/>
      <c r="D511" s="148"/>
      <c r="E511" s="147"/>
      <c r="F511" s="147"/>
      <c r="G511" s="147"/>
      <c r="H511" s="146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6"/>
    </row>
    <row r="512">
      <c r="A512" s="146"/>
      <c r="B512" s="147"/>
      <c r="C512" s="147"/>
      <c r="D512" s="148"/>
      <c r="E512" s="147"/>
      <c r="F512" s="147"/>
      <c r="G512" s="147"/>
      <c r="H512" s="146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6"/>
    </row>
    <row r="513">
      <c r="A513" s="146"/>
      <c r="B513" s="147"/>
      <c r="C513" s="147"/>
      <c r="D513" s="148"/>
      <c r="E513" s="147"/>
      <c r="F513" s="147"/>
      <c r="G513" s="147"/>
      <c r="H513" s="146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6"/>
    </row>
    <row r="514">
      <c r="A514" s="146"/>
      <c r="B514" s="147"/>
      <c r="C514" s="147"/>
      <c r="D514" s="148"/>
      <c r="E514" s="147"/>
      <c r="F514" s="147"/>
      <c r="G514" s="147"/>
      <c r="H514" s="146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6"/>
    </row>
    <row r="515">
      <c r="A515" s="146"/>
      <c r="B515" s="147"/>
      <c r="C515" s="147"/>
      <c r="D515" s="148"/>
      <c r="E515" s="147"/>
      <c r="F515" s="147"/>
      <c r="G515" s="147"/>
      <c r="H515" s="146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6"/>
    </row>
    <row r="516">
      <c r="A516" s="146"/>
      <c r="B516" s="147"/>
      <c r="C516" s="147"/>
      <c r="D516" s="148"/>
      <c r="E516" s="147"/>
      <c r="F516" s="147"/>
      <c r="G516" s="147"/>
      <c r="H516" s="146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6"/>
    </row>
    <row r="517">
      <c r="A517" s="146"/>
      <c r="B517" s="147"/>
      <c r="C517" s="147"/>
      <c r="D517" s="148"/>
      <c r="E517" s="147"/>
      <c r="F517" s="147"/>
      <c r="G517" s="147"/>
      <c r="H517" s="146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6"/>
    </row>
    <row r="518">
      <c r="A518" s="146"/>
      <c r="B518" s="147"/>
      <c r="C518" s="147"/>
      <c r="D518" s="148"/>
      <c r="E518" s="147"/>
      <c r="F518" s="147"/>
      <c r="G518" s="147"/>
      <c r="H518" s="146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6"/>
    </row>
    <row r="519">
      <c r="A519" s="146"/>
      <c r="B519" s="147"/>
      <c r="C519" s="147"/>
      <c r="D519" s="148"/>
      <c r="E519" s="147"/>
      <c r="F519" s="147"/>
      <c r="G519" s="147"/>
      <c r="H519" s="146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6"/>
    </row>
    <row r="520">
      <c r="A520" s="146"/>
      <c r="B520" s="147"/>
      <c r="C520" s="147"/>
      <c r="D520" s="148"/>
      <c r="E520" s="147"/>
      <c r="F520" s="147"/>
      <c r="G520" s="147"/>
      <c r="H520" s="146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6"/>
    </row>
    <row r="521">
      <c r="A521" s="146"/>
      <c r="B521" s="147"/>
      <c r="C521" s="147"/>
      <c r="D521" s="148"/>
      <c r="E521" s="147"/>
      <c r="F521" s="147"/>
      <c r="G521" s="147"/>
      <c r="H521" s="146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6"/>
    </row>
    <row r="522">
      <c r="A522" s="146"/>
      <c r="B522" s="147"/>
      <c r="C522" s="147"/>
      <c r="D522" s="148"/>
      <c r="E522" s="147"/>
      <c r="F522" s="147"/>
      <c r="G522" s="147"/>
      <c r="H522" s="146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6"/>
    </row>
    <row r="523">
      <c r="A523" s="146"/>
      <c r="B523" s="147"/>
      <c r="C523" s="147"/>
      <c r="D523" s="148"/>
      <c r="E523" s="147"/>
      <c r="F523" s="147"/>
      <c r="G523" s="147"/>
      <c r="H523" s="146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6"/>
    </row>
    <row r="524">
      <c r="A524" s="146"/>
      <c r="B524" s="147"/>
      <c r="C524" s="147"/>
      <c r="D524" s="148"/>
      <c r="E524" s="147"/>
      <c r="F524" s="147"/>
      <c r="G524" s="147"/>
      <c r="H524" s="146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6"/>
    </row>
    <row r="525">
      <c r="A525" s="146"/>
      <c r="B525" s="147"/>
      <c r="C525" s="147"/>
      <c r="D525" s="148"/>
      <c r="E525" s="147"/>
      <c r="F525" s="147"/>
      <c r="G525" s="147"/>
      <c r="H525" s="146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6"/>
    </row>
    <row r="526">
      <c r="A526" s="146"/>
      <c r="B526" s="147"/>
      <c r="C526" s="147"/>
      <c r="D526" s="148"/>
      <c r="E526" s="147"/>
      <c r="F526" s="147"/>
      <c r="G526" s="147"/>
      <c r="H526" s="146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6"/>
    </row>
    <row r="527">
      <c r="A527" s="146"/>
      <c r="B527" s="147"/>
      <c r="C527" s="147"/>
      <c r="D527" s="148"/>
      <c r="E527" s="147"/>
      <c r="F527" s="147"/>
      <c r="G527" s="147"/>
      <c r="H527" s="146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6"/>
    </row>
    <row r="528">
      <c r="A528" s="146"/>
      <c r="B528" s="147"/>
      <c r="C528" s="147"/>
      <c r="D528" s="148"/>
      <c r="E528" s="147"/>
      <c r="F528" s="147"/>
      <c r="G528" s="147"/>
      <c r="H528" s="146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6"/>
    </row>
    <row r="529">
      <c r="A529" s="146"/>
      <c r="B529" s="147"/>
      <c r="C529" s="147"/>
      <c r="D529" s="148"/>
      <c r="E529" s="147"/>
      <c r="F529" s="147"/>
      <c r="G529" s="147"/>
      <c r="H529" s="146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6"/>
    </row>
    <row r="530">
      <c r="A530" s="146"/>
      <c r="B530" s="147"/>
      <c r="C530" s="147"/>
      <c r="D530" s="148"/>
      <c r="E530" s="147"/>
      <c r="F530" s="147"/>
      <c r="G530" s="147"/>
      <c r="H530" s="146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6"/>
    </row>
    <row r="531">
      <c r="A531" s="146"/>
      <c r="B531" s="147"/>
      <c r="C531" s="147"/>
      <c r="D531" s="148"/>
      <c r="E531" s="147"/>
      <c r="F531" s="147"/>
      <c r="G531" s="147"/>
      <c r="H531" s="146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6"/>
    </row>
    <row r="532">
      <c r="A532" s="146"/>
      <c r="B532" s="147"/>
      <c r="C532" s="147"/>
      <c r="D532" s="148"/>
      <c r="E532" s="147"/>
      <c r="F532" s="147"/>
      <c r="G532" s="147"/>
      <c r="H532" s="146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6"/>
    </row>
    <row r="533">
      <c r="A533" s="146"/>
      <c r="B533" s="147"/>
      <c r="C533" s="147"/>
      <c r="D533" s="148"/>
      <c r="E533" s="147"/>
      <c r="F533" s="147"/>
      <c r="G533" s="147"/>
      <c r="H533" s="146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6"/>
    </row>
    <row r="534">
      <c r="A534" s="146"/>
      <c r="B534" s="147"/>
      <c r="C534" s="147"/>
      <c r="D534" s="148"/>
      <c r="E534" s="147"/>
      <c r="F534" s="147"/>
      <c r="G534" s="147"/>
      <c r="H534" s="146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6"/>
    </row>
    <row r="535">
      <c r="A535" s="146"/>
      <c r="B535" s="147"/>
      <c r="C535" s="147"/>
      <c r="D535" s="148"/>
      <c r="E535" s="147"/>
      <c r="F535" s="147"/>
      <c r="G535" s="147"/>
      <c r="H535" s="146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6"/>
    </row>
    <row r="536">
      <c r="A536" s="146"/>
      <c r="B536" s="147"/>
      <c r="C536" s="147"/>
      <c r="D536" s="148"/>
      <c r="E536" s="147"/>
      <c r="F536" s="147"/>
      <c r="G536" s="147"/>
      <c r="H536" s="146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6"/>
    </row>
    <row r="537">
      <c r="A537" s="146"/>
      <c r="B537" s="147"/>
      <c r="C537" s="147"/>
      <c r="D537" s="148"/>
      <c r="E537" s="147"/>
      <c r="F537" s="147"/>
      <c r="G537" s="147"/>
      <c r="H537" s="146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6"/>
    </row>
    <row r="538">
      <c r="A538" s="146"/>
      <c r="B538" s="147"/>
      <c r="C538" s="147"/>
      <c r="D538" s="148"/>
      <c r="E538" s="147"/>
      <c r="F538" s="147"/>
      <c r="G538" s="147"/>
      <c r="H538" s="146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6"/>
    </row>
    <row r="539">
      <c r="A539" s="146"/>
      <c r="B539" s="147"/>
      <c r="C539" s="147"/>
      <c r="D539" s="148"/>
      <c r="E539" s="147"/>
      <c r="F539" s="147"/>
      <c r="G539" s="147"/>
      <c r="H539" s="146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6"/>
    </row>
    <row r="540">
      <c r="A540" s="146"/>
      <c r="B540" s="147"/>
      <c r="C540" s="147"/>
      <c r="D540" s="148"/>
      <c r="E540" s="147"/>
      <c r="F540" s="147"/>
      <c r="G540" s="147"/>
      <c r="H540" s="146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6"/>
    </row>
    <row r="541">
      <c r="A541" s="146"/>
      <c r="B541" s="147"/>
      <c r="C541" s="147"/>
      <c r="D541" s="148"/>
      <c r="E541" s="147"/>
      <c r="F541" s="147"/>
      <c r="G541" s="147"/>
      <c r="H541" s="146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6"/>
    </row>
    <row r="542">
      <c r="A542" s="146"/>
      <c r="B542" s="147"/>
      <c r="C542" s="147"/>
      <c r="D542" s="148"/>
      <c r="E542" s="147"/>
      <c r="F542" s="147"/>
      <c r="G542" s="147"/>
      <c r="H542" s="146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6"/>
    </row>
    <row r="543">
      <c r="A543" s="146"/>
      <c r="B543" s="147"/>
      <c r="C543" s="147"/>
      <c r="D543" s="148"/>
      <c r="E543" s="147"/>
      <c r="F543" s="147"/>
      <c r="G543" s="147"/>
      <c r="H543" s="146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6"/>
    </row>
    <row r="544">
      <c r="A544" s="146"/>
      <c r="B544" s="147"/>
      <c r="C544" s="147"/>
      <c r="D544" s="148"/>
      <c r="E544" s="147"/>
      <c r="F544" s="147"/>
      <c r="G544" s="147"/>
      <c r="H544" s="146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6"/>
    </row>
    <row r="545">
      <c r="A545" s="146"/>
      <c r="B545" s="147"/>
      <c r="C545" s="147"/>
      <c r="D545" s="148"/>
      <c r="E545" s="147"/>
      <c r="F545" s="147"/>
      <c r="G545" s="147"/>
      <c r="H545" s="146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6"/>
    </row>
    <row r="546">
      <c r="A546" s="146"/>
      <c r="B546" s="147"/>
      <c r="C546" s="147"/>
      <c r="D546" s="148"/>
      <c r="E546" s="147"/>
      <c r="F546" s="147"/>
      <c r="G546" s="147"/>
      <c r="H546" s="146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6"/>
    </row>
    <row r="547">
      <c r="A547" s="146"/>
      <c r="B547" s="147"/>
      <c r="C547" s="147"/>
      <c r="D547" s="148"/>
      <c r="E547" s="147"/>
      <c r="F547" s="147"/>
      <c r="G547" s="147"/>
      <c r="H547" s="146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6"/>
    </row>
    <row r="548">
      <c r="A548" s="146"/>
      <c r="B548" s="147"/>
      <c r="C548" s="147"/>
      <c r="D548" s="148"/>
      <c r="E548" s="147"/>
      <c r="F548" s="147"/>
      <c r="G548" s="147"/>
      <c r="H548" s="146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6"/>
    </row>
    <row r="549">
      <c r="A549" s="146"/>
      <c r="B549" s="147"/>
      <c r="C549" s="147"/>
      <c r="D549" s="148"/>
      <c r="E549" s="147"/>
      <c r="F549" s="147"/>
      <c r="G549" s="147"/>
      <c r="H549" s="146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6"/>
    </row>
    <row r="550">
      <c r="A550" s="146"/>
      <c r="B550" s="147"/>
      <c r="C550" s="147"/>
      <c r="D550" s="148"/>
      <c r="E550" s="147"/>
      <c r="F550" s="147"/>
      <c r="G550" s="147"/>
      <c r="H550" s="146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6"/>
    </row>
    <row r="551">
      <c r="A551" s="146"/>
      <c r="B551" s="147"/>
      <c r="C551" s="147"/>
      <c r="D551" s="148"/>
      <c r="E551" s="147"/>
      <c r="F551" s="147"/>
      <c r="G551" s="147"/>
      <c r="H551" s="146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6"/>
    </row>
    <row r="552">
      <c r="A552" s="146"/>
      <c r="B552" s="147"/>
      <c r="C552" s="147"/>
      <c r="D552" s="148"/>
      <c r="E552" s="147"/>
      <c r="F552" s="147"/>
      <c r="G552" s="147"/>
      <c r="H552" s="146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6"/>
    </row>
    <row r="553">
      <c r="A553" s="146"/>
      <c r="B553" s="147"/>
      <c r="C553" s="147"/>
      <c r="D553" s="148"/>
      <c r="E553" s="147"/>
      <c r="F553" s="147"/>
      <c r="G553" s="147"/>
      <c r="H553" s="146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6"/>
    </row>
    <row r="554">
      <c r="A554" s="146"/>
      <c r="B554" s="147"/>
      <c r="C554" s="147"/>
      <c r="D554" s="148"/>
      <c r="E554" s="147"/>
      <c r="F554" s="147"/>
      <c r="G554" s="147"/>
      <c r="H554" s="146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6"/>
    </row>
    <row r="555">
      <c r="A555" s="146"/>
      <c r="B555" s="147"/>
      <c r="C555" s="147"/>
      <c r="D555" s="148"/>
      <c r="E555" s="147"/>
      <c r="F555" s="147"/>
      <c r="G555" s="147"/>
      <c r="H555" s="146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6"/>
    </row>
    <row r="556">
      <c r="A556" s="146"/>
      <c r="B556" s="147"/>
      <c r="C556" s="147"/>
      <c r="D556" s="148"/>
      <c r="E556" s="147"/>
      <c r="F556" s="147"/>
      <c r="G556" s="147"/>
      <c r="H556" s="146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6"/>
    </row>
    <row r="557">
      <c r="A557" s="146"/>
      <c r="B557" s="147"/>
      <c r="C557" s="147"/>
      <c r="D557" s="148"/>
      <c r="E557" s="147"/>
      <c r="F557" s="147"/>
      <c r="G557" s="147"/>
      <c r="H557" s="146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6"/>
    </row>
    <row r="558">
      <c r="A558" s="146"/>
      <c r="B558" s="147"/>
      <c r="C558" s="147"/>
      <c r="D558" s="148"/>
      <c r="E558" s="147"/>
      <c r="F558" s="147"/>
      <c r="G558" s="147"/>
      <c r="H558" s="146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6"/>
    </row>
    <row r="559">
      <c r="A559" s="146"/>
      <c r="B559" s="147"/>
      <c r="C559" s="147"/>
      <c r="D559" s="148"/>
      <c r="E559" s="147"/>
      <c r="F559" s="147"/>
      <c r="G559" s="147"/>
      <c r="H559" s="146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6"/>
    </row>
    <row r="560">
      <c r="A560" s="146"/>
      <c r="B560" s="147"/>
      <c r="C560" s="147"/>
      <c r="D560" s="148"/>
      <c r="E560" s="147"/>
      <c r="F560" s="147"/>
      <c r="G560" s="147"/>
      <c r="H560" s="146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6"/>
    </row>
    <row r="561">
      <c r="A561" s="146"/>
      <c r="B561" s="147"/>
      <c r="C561" s="147"/>
      <c r="D561" s="148"/>
      <c r="E561" s="147"/>
      <c r="F561" s="147"/>
      <c r="G561" s="147"/>
      <c r="H561" s="146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6"/>
    </row>
    <row r="562">
      <c r="A562" s="146"/>
      <c r="B562" s="147"/>
      <c r="C562" s="147"/>
      <c r="D562" s="148"/>
      <c r="E562" s="147"/>
      <c r="F562" s="147"/>
      <c r="G562" s="147"/>
      <c r="H562" s="146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6"/>
    </row>
    <row r="563">
      <c r="A563" s="146"/>
      <c r="B563" s="147"/>
      <c r="C563" s="147"/>
      <c r="D563" s="148"/>
      <c r="E563" s="147"/>
      <c r="F563" s="147"/>
      <c r="G563" s="147"/>
      <c r="H563" s="146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6"/>
    </row>
    <row r="564">
      <c r="A564" s="146"/>
      <c r="B564" s="147"/>
      <c r="C564" s="147"/>
      <c r="D564" s="148"/>
      <c r="E564" s="147"/>
      <c r="F564" s="147"/>
      <c r="G564" s="147"/>
      <c r="H564" s="146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6"/>
    </row>
    <row r="565">
      <c r="A565" s="146"/>
      <c r="B565" s="147"/>
      <c r="C565" s="147"/>
      <c r="D565" s="148"/>
      <c r="E565" s="147"/>
      <c r="F565" s="147"/>
      <c r="G565" s="147"/>
      <c r="H565" s="146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6"/>
    </row>
    <row r="566">
      <c r="A566" s="146"/>
      <c r="B566" s="147"/>
      <c r="C566" s="147"/>
      <c r="D566" s="148"/>
      <c r="E566" s="147"/>
      <c r="F566" s="147"/>
      <c r="G566" s="147"/>
      <c r="H566" s="146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6"/>
    </row>
    <row r="567">
      <c r="A567" s="146"/>
      <c r="B567" s="147"/>
      <c r="C567" s="147"/>
      <c r="D567" s="148"/>
      <c r="E567" s="147"/>
      <c r="F567" s="147"/>
      <c r="G567" s="147"/>
      <c r="H567" s="146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6"/>
    </row>
    <row r="568">
      <c r="A568" s="146"/>
      <c r="B568" s="147"/>
      <c r="C568" s="147"/>
      <c r="D568" s="148"/>
      <c r="E568" s="147"/>
      <c r="F568" s="147"/>
      <c r="G568" s="147"/>
      <c r="H568" s="146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6"/>
    </row>
    <row r="569">
      <c r="A569" s="146"/>
      <c r="B569" s="147"/>
      <c r="C569" s="147"/>
      <c r="D569" s="148"/>
      <c r="E569" s="147"/>
      <c r="F569" s="147"/>
      <c r="G569" s="147"/>
      <c r="H569" s="146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6"/>
    </row>
    <row r="570">
      <c r="A570" s="146"/>
      <c r="B570" s="147"/>
      <c r="C570" s="147"/>
      <c r="D570" s="148"/>
      <c r="E570" s="147"/>
      <c r="F570" s="147"/>
      <c r="G570" s="147"/>
      <c r="H570" s="146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6"/>
    </row>
    <row r="571">
      <c r="A571" s="146"/>
      <c r="B571" s="147"/>
      <c r="C571" s="147"/>
      <c r="D571" s="148"/>
      <c r="E571" s="147"/>
      <c r="F571" s="147"/>
      <c r="G571" s="147"/>
      <c r="H571" s="146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6"/>
    </row>
    <row r="572">
      <c r="A572" s="146"/>
      <c r="B572" s="147"/>
      <c r="C572" s="147"/>
      <c r="D572" s="148"/>
      <c r="E572" s="147"/>
      <c r="F572" s="147"/>
      <c r="G572" s="147"/>
      <c r="H572" s="146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6"/>
    </row>
    <row r="573">
      <c r="A573" s="146"/>
      <c r="B573" s="147"/>
      <c r="C573" s="147"/>
      <c r="D573" s="148"/>
      <c r="E573" s="147"/>
      <c r="F573" s="147"/>
      <c r="G573" s="147"/>
      <c r="H573" s="146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6"/>
    </row>
    <row r="574">
      <c r="A574" s="146"/>
      <c r="B574" s="147"/>
      <c r="C574" s="147"/>
      <c r="D574" s="148"/>
      <c r="E574" s="147"/>
      <c r="F574" s="147"/>
      <c r="G574" s="147"/>
      <c r="H574" s="146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6"/>
    </row>
    <row r="575">
      <c r="A575" s="146"/>
      <c r="B575" s="147"/>
      <c r="C575" s="147"/>
      <c r="D575" s="148"/>
      <c r="E575" s="147"/>
      <c r="F575" s="147"/>
      <c r="G575" s="147"/>
      <c r="H575" s="146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6"/>
    </row>
    <row r="576">
      <c r="A576" s="146"/>
      <c r="B576" s="147"/>
      <c r="C576" s="147"/>
      <c r="D576" s="148"/>
      <c r="E576" s="147"/>
      <c r="F576" s="147"/>
      <c r="G576" s="147"/>
      <c r="H576" s="146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6"/>
    </row>
    <row r="577">
      <c r="A577" s="146"/>
      <c r="B577" s="147"/>
      <c r="C577" s="147"/>
      <c r="D577" s="148"/>
      <c r="E577" s="147"/>
      <c r="F577" s="147"/>
      <c r="G577" s="147"/>
      <c r="H577" s="146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6"/>
    </row>
    <row r="578">
      <c r="A578" s="146"/>
      <c r="B578" s="147"/>
      <c r="C578" s="147"/>
      <c r="D578" s="148"/>
      <c r="E578" s="147"/>
      <c r="F578" s="147"/>
      <c r="G578" s="147"/>
      <c r="H578" s="146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6"/>
    </row>
    <row r="579">
      <c r="A579" s="146"/>
      <c r="B579" s="147"/>
      <c r="C579" s="147"/>
      <c r="D579" s="148"/>
      <c r="E579" s="147"/>
      <c r="F579" s="147"/>
      <c r="G579" s="147"/>
      <c r="H579" s="146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6"/>
    </row>
    <row r="580">
      <c r="A580" s="146"/>
      <c r="B580" s="147"/>
      <c r="C580" s="147"/>
      <c r="D580" s="148"/>
      <c r="E580" s="147"/>
      <c r="F580" s="147"/>
      <c r="G580" s="147"/>
      <c r="H580" s="146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6"/>
    </row>
    <row r="581">
      <c r="A581" s="146"/>
      <c r="B581" s="147"/>
      <c r="C581" s="147"/>
      <c r="D581" s="148"/>
      <c r="E581" s="147"/>
      <c r="F581" s="147"/>
      <c r="G581" s="147"/>
      <c r="H581" s="146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6"/>
    </row>
    <row r="582">
      <c r="A582" s="146"/>
      <c r="B582" s="147"/>
      <c r="C582" s="147"/>
      <c r="D582" s="148"/>
      <c r="E582" s="147"/>
      <c r="F582" s="147"/>
      <c r="G582" s="147"/>
      <c r="H582" s="146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6"/>
    </row>
    <row r="583">
      <c r="A583" s="146"/>
      <c r="B583" s="147"/>
      <c r="C583" s="147"/>
      <c r="D583" s="148"/>
      <c r="E583" s="147"/>
      <c r="F583" s="147"/>
      <c r="G583" s="147"/>
      <c r="H583" s="146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6"/>
    </row>
    <row r="584">
      <c r="A584" s="146"/>
      <c r="B584" s="147"/>
      <c r="C584" s="147"/>
      <c r="D584" s="148"/>
      <c r="E584" s="147"/>
      <c r="F584" s="147"/>
      <c r="G584" s="147"/>
      <c r="H584" s="146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6"/>
    </row>
    <row r="585">
      <c r="A585" s="146"/>
      <c r="B585" s="147"/>
      <c r="C585" s="147"/>
      <c r="D585" s="148"/>
      <c r="E585" s="147"/>
      <c r="F585" s="147"/>
      <c r="G585" s="147"/>
      <c r="H585" s="146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6"/>
    </row>
    <row r="586">
      <c r="A586" s="146"/>
      <c r="B586" s="147"/>
      <c r="C586" s="147"/>
      <c r="D586" s="148"/>
      <c r="E586" s="147"/>
      <c r="F586" s="147"/>
      <c r="G586" s="147"/>
      <c r="H586" s="146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6"/>
    </row>
    <row r="587">
      <c r="A587" s="146"/>
      <c r="B587" s="147"/>
      <c r="C587" s="147"/>
      <c r="D587" s="148"/>
      <c r="E587" s="147"/>
      <c r="F587" s="147"/>
      <c r="G587" s="147"/>
      <c r="H587" s="146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6"/>
    </row>
    <row r="588">
      <c r="A588" s="146"/>
      <c r="B588" s="147"/>
      <c r="C588" s="147"/>
      <c r="D588" s="148"/>
      <c r="E588" s="147"/>
      <c r="F588" s="147"/>
      <c r="G588" s="147"/>
      <c r="H588" s="146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6"/>
    </row>
    <row r="589">
      <c r="A589" s="146"/>
      <c r="B589" s="147"/>
      <c r="C589" s="147"/>
      <c r="D589" s="148"/>
      <c r="E589" s="147"/>
      <c r="F589" s="147"/>
      <c r="G589" s="147"/>
      <c r="H589" s="146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6"/>
    </row>
    <row r="590">
      <c r="A590" s="146"/>
      <c r="B590" s="147"/>
      <c r="C590" s="147"/>
      <c r="D590" s="148"/>
      <c r="E590" s="147"/>
      <c r="F590" s="147"/>
      <c r="G590" s="147"/>
      <c r="H590" s="146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6"/>
    </row>
    <row r="591">
      <c r="A591" s="146"/>
      <c r="B591" s="147"/>
      <c r="C591" s="147"/>
      <c r="D591" s="148"/>
      <c r="E591" s="147"/>
      <c r="F591" s="147"/>
      <c r="G591" s="147"/>
      <c r="H591" s="146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6"/>
    </row>
    <row r="592">
      <c r="A592" s="146"/>
      <c r="B592" s="147"/>
      <c r="C592" s="147"/>
      <c r="D592" s="148"/>
      <c r="E592" s="147"/>
      <c r="F592" s="147"/>
      <c r="G592" s="147"/>
      <c r="H592" s="146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6"/>
    </row>
    <row r="593">
      <c r="A593" s="146"/>
      <c r="B593" s="147"/>
      <c r="C593" s="147"/>
      <c r="D593" s="148"/>
      <c r="E593" s="147"/>
      <c r="F593" s="147"/>
      <c r="G593" s="147"/>
      <c r="H593" s="146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6"/>
    </row>
    <row r="594">
      <c r="A594" s="146"/>
      <c r="B594" s="147"/>
      <c r="C594" s="147"/>
      <c r="D594" s="148"/>
      <c r="E594" s="147"/>
      <c r="F594" s="147"/>
      <c r="G594" s="147"/>
      <c r="H594" s="146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6"/>
    </row>
    <row r="595">
      <c r="A595" s="146"/>
      <c r="B595" s="147"/>
      <c r="C595" s="147"/>
      <c r="D595" s="148"/>
      <c r="E595" s="147"/>
      <c r="F595" s="147"/>
      <c r="G595" s="147"/>
      <c r="H595" s="146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6"/>
    </row>
    <row r="596">
      <c r="A596" s="146"/>
      <c r="B596" s="147"/>
      <c r="C596" s="147"/>
      <c r="D596" s="148"/>
      <c r="E596" s="147"/>
      <c r="F596" s="147"/>
      <c r="G596" s="147"/>
      <c r="H596" s="146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6"/>
    </row>
    <row r="597">
      <c r="A597" s="146"/>
      <c r="B597" s="147"/>
      <c r="C597" s="147"/>
      <c r="D597" s="148"/>
      <c r="E597" s="147"/>
      <c r="F597" s="147"/>
      <c r="G597" s="147"/>
      <c r="H597" s="146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6"/>
    </row>
    <row r="598">
      <c r="A598" s="146"/>
      <c r="B598" s="147"/>
      <c r="C598" s="147"/>
      <c r="D598" s="148"/>
      <c r="E598" s="147"/>
      <c r="F598" s="147"/>
      <c r="G598" s="147"/>
      <c r="H598" s="146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6"/>
    </row>
    <row r="599">
      <c r="A599" s="146"/>
      <c r="B599" s="147"/>
      <c r="C599" s="147"/>
      <c r="D599" s="148"/>
      <c r="E599" s="147"/>
      <c r="F599" s="147"/>
      <c r="G599" s="147"/>
      <c r="H599" s="146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6"/>
    </row>
    <row r="600">
      <c r="A600" s="146"/>
      <c r="B600" s="147"/>
      <c r="C600" s="147"/>
      <c r="D600" s="148"/>
      <c r="E600" s="147"/>
      <c r="F600" s="147"/>
      <c r="G600" s="147"/>
      <c r="H600" s="146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6"/>
    </row>
    <row r="601">
      <c r="A601" s="146"/>
      <c r="B601" s="147"/>
      <c r="C601" s="147"/>
      <c r="D601" s="148"/>
      <c r="E601" s="147"/>
      <c r="F601" s="147"/>
      <c r="G601" s="147"/>
      <c r="H601" s="146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6"/>
    </row>
    <row r="602">
      <c r="A602" s="146"/>
      <c r="B602" s="147"/>
      <c r="C602" s="147"/>
      <c r="D602" s="148"/>
      <c r="E602" s="147"/>
      <c r="F602" s="147"/>
      <c r="G602" s="147"/>
      <c r="H602" s="146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6"/>
    </row>
    <row r="603">
      <c r="A603" s="146"/>
      <c r="B603" s="147"/>
      <c r="C603" s="147"/>
      <c r="D603" s="148"/>
      <c r="E603" s="147"/>
      <c r="F603" s="147"/>
      <c r="G603" s="147"/>
      <c r="H603" s="146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6"/>
    </row>
    <row r="604">
      <c r="A604" s="146"/>
      <c r="B604" s="147"/>
      <c r="C604" s="147"/>
      <c r="D604" s="148"/>
      <c r="E604" s="147"/>
      <c r="F604" s="147"/>
      <c r="G604" s="147"/>
      <c r="H604" s="146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6"/>
    </row>
    <row r="605">
      <c r="A605" s="146"/>
      <c r="B605" s="147"/>
      <c r="C605" s="147"/>
      <c r="D605" s="148"/>
      <c r="E605" s="147"/>
      <c r="F605" s="147"/>
      <c r="G605" s="147"/>
      <c r="H605" s="146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6"/>
    </row>
    <row r="606">
      <c r="A606" s="146"/>
      <c r="B606" s="147"/>
      <c r="C606" s="147"/>
      <c r="D606" s="148"/>
      <c r="E606" s="147"/>
      <c r="F606" s="147"/>
      <c r="G606" s="147"/>
      <c r="H606" s="146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6"/>
    </row>
    <row r="607">
      <c r="A607" s="146"/>
      <c r="B607" s="147"/>
      <c r="C607" s="147"/>
      <c r="D607" s="148"/>
      <c r="E607" s="147"/>
      <c r="F607" s="147"/>
      <c r="G607" s="147"/>
      <c r="H607" s="146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6"/>
    </row>
    <row r="608">
      <c r="A608" s="146"/>
      <c r="B608" s="147"/>
      <c r="C608" s="147"/>
      <c r="D608" s="148"/>
      <c r="E608" s="147"/>
      <c r="F608" s="147"/>
      <c r="G608" s="147"/>
      <c r="H608" s="146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6"/>
    </row>
    <row r="609">
      <c r="A609" s="146"/>
      <c r="B609" s="147"/>
      <c r="C609" s="147"/>
      <c r="D609" s="148"/>
      <c r="E609" s="147"/>
      <c r="F609" s="147"/>
      <c r="G609" s="147"/>
      <c r="H609" s="146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6"/>
    </row>
    <row r="610">
      <c r="A610" s="146"/>
      <c r="B610" s="147"/>
      <c r="C610" s="147"/>
      <c r="D610" s="148"/>
      <c r="E610" s="147"/>
      <c r="F610" s="147"/>
      <c r="G610" s="147"/>
      <c r="H610" s="146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6"/>
    </row>
    <row r="611">
      <c r="A611" s="146"/>
      <c r="B611" s="147"/>
      <c r="C611" s="147"/>
      <c r="D611" s="148"/>
      <c r="E611" s="147"/>
      <c r="F611" s="147"/>
      <c r="G611" s="147"/>
      <c r="H611" s="146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6"/>
    </row>
    <row r="612">
      <c r="A612" s="146"/>
      <c r="B612" s="147"/>
      <c r="C612" s="147"/>
      <c r="D612" s="148"/>
      <c r="E612" s="147"/>
      <c r="F612" s="147"/>
      <c r="G612" s="147"/>
      <c r="H612" s="146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6"/>
    </row>
    <row r="613">
      <c r="A613" s="146"/>
      <c r="B613" s="147"/>
      <c r="C613" s="147"/>
      <c r="D613" s="148"/>
      <c r="E613" s="147"/>
      <c r="F613" s="147"/>
      <c r="G613" s="147"/>
      <c r="H613" s="146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6"/>
    </row>
    <row r="614">
      <c r="A614" s="146"/>
      <c r="B614" s="147"/>
      <c r="C614" s="147"/>
      <c r="D614" s="148"/>
      <c r="E614" s="147"/>
      <c r="F614" s="147"/>
      <c r="G614" s="147"/>
      <c r="H614" s="146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6"/>
    </row>
    <row r="615">
      <c r="A615" s="146"/>
      <c r="B615" s="147"/>
      <c r="C615" s="147"/>
      <c r="D615" s="148"/>
      <c r="E615" s="147"/>
      <c r="F615" s="147"/>
      <c r="G615" s="147"/>
      <c r="H615" s="146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6"/>
    </row>
    <row r="616">
      <c r="A616" s="146"/>
      <c r="B616" s="147"/>
      <c r="C616" s="147"/>
      <c r="D616" s="148"/>
      <c r="E616" s="147"/>
      <c r="F616" s="147"/>
      <c r="G616" s="147"/>
      <c r="H616" s="146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6"/>
    </row>
    <row r="617">
      <c r="A617" s="146"/>
      <c r="B617" s="147"/>
      <c r="C617" s="147"/>
      <c r="D617" s="148"/>
      <c r="E617" s="147"/>
      <c r="F617" s="147"/>
      <c r="G617" s="147"/>
      <c r="H617" s="146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6"/>
    </row>
    <row r="618">
      <c r="A618" s="146"/>
      <c r="B618" s="147"/>
      <c r="C618" s="147"/>
      <c r="D618" s="148"/>
      <c r="E618" s="147"/>
      <c r="F618" s="147"/>
      <c r="G618" s="147"/>
      <c r="H618" s="146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6"/>
    </row>
    <row r="619">
      <c r="A619" s="146"/>
      <c r="B619" s="147"/>
      <c r="C619" s="147"/>
      <c r="D619" s="148"/>
      <c r="E619" s="147"/>
      <c r="F619" s="147"/>
      <c r="G619" s="147"/>
      <c r="H619" s="146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6"/>
    </row>
    <row r="620">
      <c r="A620" s="146"/>
      <c r="B620" s="147"/>
      <c r="C620" s="147"/>
      <c r="D620" s="148"/>
      <c r="E620" s="147"/>
      <c r="F620" s="147"/>
      <c r="G620" s="147"/>
      <c r="H620" s="146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6"/>
    </row>
    <row r="621">
      <c r="A621" s="146"/>
      <c r="B621" s="147"/>
      <c r="C621" s="147"/>
      <c r="D621" s="148"/>
      <c r="E621" s="147"/>
      <c r="F621" s="147"/>
      <c r="G621" s="147"/>
      <c r="H621" s="146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6"/>
    </row>
    <row r="622">
      <c r="A622" s="146"/>
      <c r="B622" s="147"/>
      <c r="C622" s="147"/>
      <c r="D622" s="148"/>
      <c r="E622" s="147"/>
      <c r="F622" s="147"/>
      <c r="G622" s="147"/>
      <c r="H622" s="146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6"/>
    </row>
    <row r="623">
      <c r="A623" s="146"/>
      <c r="B623" s="147"/>
      <c r="C623" s="147"/>
      <c r="D623" s="148"/>
      <c r="E623" s="147"/>
      <c r="F623" s="147"/>
      <c r="G623" s="147"/>
      <c r="H623" s="146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6"/>
    </row>
    <row r="624">
      <c r="A624" s="146"/>
      <c r="B624" s="147"/>
      <c r="C624" s="147"/>
      <c r="D624" s="148"/>
      <c r="E624" s="147"/>
      <c r="F624" s="147"/>
      <c r="G624" s="147"/>
      <c r="H624" s="146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6"/>
    </row>
    <row r="625">
      <c r="A625" s="146"/>
      <c r="B625" s="147"/>
      <c r="C625" s="147"/>
      <c r="D625" s="148"/>
      <c r="E625" s="147"/>
      <c r="F625" s="147"/>
      <c r="G625" s="147"/>
      <c r="H625" s="146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6"/>
    </row>
    <row r="626">
      <c r="A626" s="146"/>
      <c r="B626" s="147"/>
      <c r="C626" s="147"/>
      <c r="D626" s="148"/>
      <c r="E626" s="147"/>
      <c r="F626" s="147"/>
      <c r="G626" s="147"/>
      <c r="H626" s="146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6"/>
    </row>
    <row r="627">
      <c r="A627" s="146"/>
      <c r="B627" s="147"/>
      <c r="C627" s="147"/>
      <c r="D627" s="148"/>
      <c r="E627" s="147"/>
      <c r="F627" s="147"/>
      <c r="G627" s="147"/>
      <c r="H627" s="146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6"/>
    </row>
    <row r="628">
      <c r="A628" s="146"/>
      <c r="B628" s="147"/>
      <c r="C628" s="147"/>
      <c r="D628" s="148"/>
      <c r="E628" s="147"/>
      <c r="F628" s="147"/>
      <c r="G628" s="147"/>
      <c r="H628" s="146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6"/>
    </row>
    <row r="629">
      <c r="A629" s="146"/>
      <c r="B629" s="147"/>
      <c r="C629" s="147"/>
      <c r="D629" s="148"/>
      <c r="E629" s="147"/>
      <c r="F629" s="147"/>
      <c r="G629" s="147"/>
      <c r="H629" s="146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6"/>
    </row>
    <row r="630">
      <c r="A630" s="146"/>
      <c r="B630" s="147"/>
      <c r="C630" s="147"/>
      <c r="D630" s="148"/>
      <c r="E630" s="147"/>
      <c r="F630" s="147"/>
      <c r="G630" s="147"/>
      <c r="H630" s="146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6"/>
    </row>
    <row r="631">
      <c r="A631" s="146"/>
      <c r="B631" s="147"/>
      <c r="C631" s="147"/>
      <c r="D631" s="148"/>
      <c r="E631" s="147"/>
      <c r="F631" s="147"/>
      <c r="G631" s="147"/>
      <c r="H631" s="146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6"/>
    </row>
    <row r="632">
      <c r="A632" s="146"/>
      <c r="B632" s="147"/>
      <c r="C632" s="147"/>
      <c r="D632" s="148"/>
      <c r="E632" s="147"/>
      <c r="F632" s="147"/>
      <c r="G632" s="147"/>
      <c r="H632" s="146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6"/>
    </row>
    <row r="633">
      <c r="A633" s="146"/>
      <c r="B633" s="147"/>
      <c r="C633" s="147"/>
      <c r="D633" s="148"/>
      <c r="E633" s="147"/>
      <c r="F633" s="147"/>
      <c r="G633" s="147"/>
      <c r="H633" s="146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6"/>
    </row>
    <row r="634">
      <c r="A634" s="146"/>
      <c r="B634" s="147"/>
      <c r="C634" s="147"/>
      <c r="D634" s="148"/>
      <c r="E634" s="147"/>
      <c r="F634" s="147"/>
      <c r="G634" s="147"/>
      <c r="H634" s="146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6"/>
    </row>
    <row r="635">
      <c r="A635" s="146"/>
      <c r="B635" s="147"/>
      <c r="C635" s="147"/>
      <c r="D635" s="148"/>
      <c r="E635" s="147"/>
      <c r="F635" s="147"/>
      <c r="G635" s="147"/>
      <c r="H635" s="146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6"/>
    </row>
    <row r="636">
      <c r="A636" s="146"/>
      <c r="B636" s="147"/>
      <c r="C636" s="147"/>
      <c r="D636" s="148"/>
      <c r="E636" s="147"/>
      <c r="F636" s="147"/>
      <c r="G636" s="147"/>
      <c r="H636" s="146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6"/>
    </row>
    <row r="637">
      <c r="A637" s="146"/>
      <c r="B637" s="147"/>
      <c r="C637" s="147"/>
      <c r="D637" s="148"/>
      <c r="E637" s="147"/>
      <c r="F637" s="147"/>
      <c r="G637" s="147"/>
      <c r="H637" s="146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6"/>
    </row>
    <row r="638">
      <c r="A638" s="146"/>
      <c r="B638" s="147"/>
      <c r="C638" s="147"/>
      <c r="D638" s="148"/>
      <c r="E638" s="147"/>
      <c r="F638" s="147"/>
      <c r="G638" s="147"/>
      <c r="H638" s="146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6"/>
    </row>
    <row r="639">
      <c r="A639" s="146"/>
      <c r="B639" s="147"/>
      <c r="C639" s="147"/>
      <c r="D639" s="148"/>
      <c r="E639" s="147"/>
      <c r="F639" s="147"/>
      <c r="G639" s="147"/>
      <c r="H639" s="146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6"/>
    </row>
    <row r="640">
      <c r="A640" s="146"/>
      <c r="B640" s="147"/>
      <c r="C640" s="147"/>
      <c r="D640" s="148"/>
      <c r="E640" s="147"/>
      <c r="F640" s="147"/>
      <c r="G640" s="147"/>
      <c r="H640" s="146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6"/>
    </row>
    <row r="641">
      <c r="A641" s="146"/>
      <c r="B641" s="147"/>
      <c r="C641" s="147"/>
      <c r="D641" s="148"/>
      <c r="E641" s="147"/>
      <c r="F641" s="147"/>
      <c r="G641" s="147"/>
      <c r="H641" s="146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6"/>
    </row>
    <row r="642">
      <c r="A642" s="146"/>
      <c r="B642" s="147"/>
      <c r="C642" s="147"/>
      <c r="D642" s="148"/>
      <c r="E642" s="147"/>
      <c r="F642" s="147"/>
      <c r="G642" s="147"/>
      <c r="H642" s="146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6"/>
    </row>
    <row r="643">
      <c r="A643" s="146"/>
      <c r="B643" s="147"/>
      <c r="C643" s="147"/>
      <c r="D643" s="148"/>
      <c r="E643" s="147"/>
      <c r="F643" s="147"/>
      <c r="G643" s="147"/>
      <c r="H643" s="146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6"/>
    </row>
    <row r="644">
      <c r="A644" s="146"/>
      <c r="B644" s="147"/>
      <c r="C644" s="147"/>
      <c r="D644" s="148"/>
      <c r="E644" s="147"/>
      <c r="F644" s="147"/>
      <c r="G644" s="147"/>
      <c r="H644" s="146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6"/>
    </row>
    <row r="645">
      <c r="A645" s="146"/>
      <c r="B645" s="147"/>
      <c r="C645" s="147"/>
      <c r="D645" s="148"/>
      <c r="E645" s="147"/>
      <c r="F645" s="147"/>
      <c r="G645" s="147"/>
      <c r="H645" s="146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6"/>
    </row>
    <row r="646">
      <c r="A646" s="146"/>
      <c r="B646" s="147"/>
      <c r="C646" s="147"/>
      <c r="D646" s="148"/>
      <c r="E646" s="147"/>
      <c r="F646" s="147"/>
      <c r="G646" s="147"/>
      <c r="H646" s="146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6"/>
    </row>
    <row r="647">
      <c r="A647" s="146"/>
      <c r="B647" s="147"/>
      <c r="C647" s="147"/>
      <c r="D647" s="148"/>
      <c r="E647" s="147"/>
      <c r="F647" s="147"/>
      <c r="G647" s="147"/>
      <c r="H647" s="146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6"/>
    </row>
    <row r="648">
      <c r="A648" s="146"/>
      <c r="B648" s="147"/>
      <c r="C648" s="147"/>
      <c r="D648" s="148"/>
      <c r="E648" s="147"/>
      <c r="F648" s="147"/>
      <c r="G648" s="147"/>
      <c r="H648" s="146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6"/>
    </row>
    <row r="649">
      <c r="A649" s="146"/>
      <c r="B649" s="147"/>
      <c r="C649" s="147"/>
      <c r="D649" s="148"/>
      <c r="E649" s="147"/>
      <c r="F649" s="147"/>
      <c r="G649" s="147"/>
      <c r="H649" s="146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6"/>
    </row>
    <row r="650">
      <c r="A650" s="146"/>
      <c r="B650" s="147"/>
      <c r="C650" s="147"/>
      <c r="D650" s="148"/>
      <c r="E650" s="147"/>
      <c r="F650" s="147"/>
      <c r="G650" s="147"/>
      <c r="H650" s="146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6"/>
    </row>
    <row r="651">
      <c r="A651" s="146"/>
      <c r="B651" s="147"/>
      <c r="C651" s="147"/>
      <c r="D651" s="148"/>
      <c r="E651" s="147"/>
      <c r="F651" s="147"/>
      <c r="G651" s="147"/>
      <c r="H651" s="146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6"/>
    </row>
    <row r="652">
      <c r="A652" s="146"/>
      <c r="B652" s="147"/>
      <c r="C652" s="147"/>
      <c r="D652" s="148"/>
      <c r="E652" s="147"/>
      <c r="F652" s="147"/>
      <c r="G652" s="147"/>
      <c r="H652" s="146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6"/>
    </row>
    <row r="653">
      <c r="A653" s="146"/>
      <c r="B653" s="147"/>
      <c r="C653" s="147"/>
      <c r="D653" s="148"/>
      <c r="E653" s="147"/>
      <c r="F653" s="147"/>
      <c r="G653" s="147"/>
      <c r="H653" s="146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6"/>
    </row>
    <row r="654">
      <c r="A654" s="146"/>
      <c r="B654" s="147"/>
      <c r="C654" s="147"/>
      <c r="D654" s="148"/>
      <c r="E654" s="147"/>
      <c r="F654" s="147"/>
      <c r="G654" s="147"/>
      <c r="H654" s="146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6"/>
    </row>
    <row r="655">
      <c r="A655" s="146"/>
      <c r="B655" s="147"/>
      <c r="C655" s="147"/>
      <c r="D655" s="148"/>
      <c r="E655" s="147"/>
      <c r="F655" s="147"/>
      <c r="G655" s="147"/>
      <c r="H655" s="146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6"/>
    </row>
    <row r="656">
      <c r="A656" s="146"/>
      <c r="B656" s="147"/>
      <c r="C656" s="147"/>
      <c r="D656" s="148"/>
      <c r="E656" s="147"/>
      <c r="F656" s="147"/>
      <c r="G656" s="147"/>
      <c r="H656" s="146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6"/>
    </row>
    <row r="657">
      <c r="A657" s="146"/>
      <c r="B657" s="147"/>
      <c r="C657" s="147"/>
      <c r="D657" s="148"/>
      <c r="E657" s="147"/>
      <c r="F657" s="147"/>
      <c r="G657" s="147"/>
      <c r="H657" s="146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6"/>
    </row>
    <row r="658">
      <c r="A658" s="146"/>
      <c r="B658" s="147"/>
      <c r="C658" s="147"/>
      <c r="D658" s="148"/>
      <c r="E658" s="147"/>
      <c r="F658" s="147"/>
      <c r="G658" s="147"/>
      <c r="H658" s="146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6"/>
    </row>
    <row r="659">
      <c r="A659" s="146"/>
      <c r="B659" s="147"/>
      <c r="C659" s="147"/>
      <c r="D659" s="148"/>
      <c r="E659" s="147"/>
      <c r="F659" s="147"/>
      <c r="G659" s="147"/>
      <c r="H659" s="146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6"/>
    </row>
    <row r="660">
      <c r="A660" s="146"/>
      <c r="B660" s="147"/>
      <c r="C660" s="147"/>
      <c r="D660" s="148"/>
      <c r="E660" s="147"/>
      <c r="F660" s="147"/>
      <c r="G660" s="147"/>
      <c r="H660" s="146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6"/>
    </row>
    <row r="661">
      <c r="A661" s="146"/>
      <c r="B661" s="147"/>
      <c r="C661" s="147"/>
      <c r="D661" s="148"/>
      <c r="E661" s="147"/>
      <c r="F661" s="147"/>
      <c r="G661" s="147"/>
      <c r="H661" s="146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6"/>
    </row>
    <row r="662">
      <c r="A662" s="146"/>
      <c r="B662" s="147"/>
      <c r="C662" s="147"/>
      <c r="D662" s="148"/>
      <c r="E662" s="147"/>
      <c r="F662" s="147"/>
      <c r="G662" s="147"/>
      <c r="H662" s="146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6"/>
    </row>
    <row r="663">
      <c r="A663" s="146"/>
      <c r="B663" s="147"/>
      <c r="C663" s="147"/>
      <c r="D663" s="148"/>
      <c r="E663" s="147"/>
      <c r="F663" s="147"/>
      <c r="G663" s="147"/>
      <c r="H663" s="146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6"/>
    </row>
    <row r="664">
      <c r="A664" s="146"/>
      <c r="B664" s="147"/>
      <c r="C664" s="147"/>
      <c r="D664" s="148"/>
      <c r="E664" s="147"/>
      <c r="F664" s="147"/>
      <c r="G664" s="147"/>
      <c r="H664" s="146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6"/>
    </row>
    <row r="665">
      <c r="A665" s="146"/>
      <c r="B665" s="147"/>
      <c r="C665" s="147"/>
      <c r="D665" s="148"/>
      <c r="E665" s="147"/>
      <c r="F665" s="147"/>
      <c r="G665" s="147"/>
      <c r="H665" s="146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6"/>
    </row>
    <row r="666">
      <c r="A666" s="146"/>
      <c r="B666" s="147"/>
      <c r="C666" s="147"/>
      <c r="D666" s="148"/>
      <c r="E666" s="147"/>
      <c r="F666" s="147"/>
      <c r="G666" s="147"/>
      <c r="H666" s="146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6"/>
    </row>
    <row r="667">
      <c r="A667" s="146"/>
      <c r="B667" s="147"/>
      <c r="C667" s="147"/>
      <c r="D667" s="148"/>
      <c r="E667" s="147"/>
      <c r="F667" s="147"/>
      <c r="G667" s="147"/>
      <c r="H667" s="146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6"/>
    </row>
    <row r="668">
      <c r="A668" s="146"/>
      <c r="B668" s="147"/>
      <c r="C668" s="147"/>
      <c r="D668" s="148"/>
      <c r="E668" s="147"/>
      <c r="F668" s="147"/>
      <c r="G668" s="147"/>
      <c r="H668" s="146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6"/>
    </row>
    <row r="669">
      <c r="A669" s="146"/>
      <c r="B669" s="147"/>
      <c r="C669" s="147"/>
      <c r="D669" s="148"/>
      <c r="E669" s="147"/>
      <c r="F669" s="147"/>
      <c r="G669" s="147"/>
      <c r="H669" s="146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6"/>
    </row>
    <row r="670">
      <c r="A670" s="146"/>
      <c r="B670" s="147"/>
      <c r="C670" s="147"/>
      <c r="D670" s="148"/>
      <c r="E670" s="147"/>
      <c r="F670" s="147"/>
      <c r="G670" s="147"/>
      <c r="H670" s="146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6"/>
    </row>
    <row r="671">
      <c r="A671" s="146"/>
      <c r="B671" s="147"/>
      <c r="C671" s="147"/>
      <c r="D671" s="148"/>
      <c r="E671" s="147"/>
      <c r="F671" s="147"/>
      <c r="G671" s="147"/>
      <c r="H671" s="146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6"/>
    </row>
    <row r="672">
      <c r="A672" s="146"/>
      <c r="B672" s="147"/>
      <c r="C672" s="147"/>
      <c r="D672" s="148"/>
      <c r="E672" s="147"/>
      <c r="F672" s="147"/>
      <c r="G672" s="147"/>
      <c r="H672" s="146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6"/>
    </row>
    <row r="673">
      <c r="A673" s="146"/>
      <c r="B673" s="147"/>
      <c r="C673" s="147"/>
      <c r="D673" s="148"/>
      <c r="E673" s="147"/>
      <c r="F673" s="147"/>
      <c r="G673" s="147"/>
      <c r="H673" s="146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6"/>
    </row>
    <row r="674">
      <c r="A674" s="146"/>
      <c r="B674" s="147"/>
      <c r="C674" s="147"/>
      <c r="D674" s="148"/>
      <c r="E674" s="147"/>
      <c r="F674" s="147"/>
      <c r="G674" s="147"/>
      <c r="H674" s="146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6"/>
    </row>
    <row r="675">
      <c r="A675" s="146"/>
      <c r="B675" s="147"/>
      <c r="C675" s="147"/>
      <c r="D675" s="148"/>
      <c r="E675" s="147"/>
      <c r="F675" s="147"/>
      <c r="G675" s="147"/>
      <c r="H675" s="146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6"/>
    </row>
    <row r="676">
      <c r="A676" s="146"/>
      <c r="B676" s="147"/>
      <c r="C676" s="147"/>
      <c r="D676" s="148"/>
      <c r="E676" s="147"/>
      <c r="F676" s="147"/>
      <c r="G676" s="147"/>
      <c r="H676" s="146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6"/>
    </row>
    <row r="677">
      <c r="A677" s="146"/>
      <c r="B677" s="147"/>
      <c r="C677" s="147"/>
      <c r="D677" s="148"/>
      <c r="E677" s="147"/>
      <c r="F677" s="147"/>
      <c r="G677" s="147"/>
      <c r="H677" s="146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6"/>
    </row>
    <row r="678">
      <c r="A678" s="146"/>
      <c r="B678" s="147"/>
      <c r="C678" s="147"/>
      <c r="D678" s="148"/>
      <c r="E678" s="147"/>
      <c r="F678" s="147"/>
      <c r="G678" s="147"/>
      <c r="H678" s="146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6"/>
    </row>
    <row r="679">
      <c r="A679" s="146"/>
      <c r="B679" s="147"/>
      <c r="C679" s="147"/>
      <c r="D679" s="148"/>
      <c r="E679" s="147"/>
      <c r="F679" s="147"/>
      <c r="G679" s="147"/>
      <c r="H679" s="146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6"/>
    </row>
    <row r="680">
      <c r="A680" s="146"/>
      <c r="B680" s="147"/>
      <c r="C680" s="147"/>
      <c r="D680" s="148"/>
      <c r="E680" s="147"/>
      <c r="F680" s="147"/>
      <c r="G680" s="147"/>
      <c r="H680" s="146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6"/>
    </row>
    <row r="681">
      <c r="A681" s="146"/>
      <c r="B681" s="147"/>
      <c r="C681" s="147"/>
      <c r="D681" s="148"/>
      <c r="E681" s="147"/>
      <c r="F681" s="147"/>
      <c r="G681" s="147"/>
      <c r="H681" s="146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6"/>
    </row>
    <row r="682">
      <c r="A682" s="146"/>
      <c r="B682" s="147"/>
      <c r="C682" s="147"/>
      <c r="D682" s="148"/>
      <c r="E682" s="147"/>
      <c r="F682" s="147"/>
      <c r="G682" s="147"/>
      <c r="H682" s="146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6"/>
    </row>
    <row r="683">
      <c r="A683" s="146"/>
      <c r="B683" s="147"/>
      <c r="C683" s="147"/>
      <c r="D683" s="148"/>
      <c r="E683" s="147"/>
      <c r="F683" s="147"/>
      <c r="G683" s="147"/>
      <c r="H683" s="146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6"/>
    </row>
    <row r="684">
      <c r="A684" s="146"/>
      <c r="B684" s="147"/>
      <c r="C684" s="147"/>
      <c r="D684" s="148"/>
      <c r="E684" s="147"/>
      <c r="F684" s="147"/>
      <c r="G684" s="147"/>
      <c r="H684" s="146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6"/>
    </row>
    <row r="685">
      <c r="A685" s="146"/>
      <c r="B685" s="147"/>
      <c r="C685" s="147"/>
      <c r="D685" s="148"/>
      <c r="E685" s="147"/>
      <c r="F685" s="147"/>
      <c r="G685" s="147"/>
      <c r="H685" s="146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6"/>
    </row>
    <row r="686">
      <c r="A686" s="146"/>
      <c r="B686" s="147"/>
      <c r="C686" s="147"/>
      <c r="D686" s="148"/>
      <c r="E686" s="147"/>
      <c r="F686" s="147"/>
      <c r="G686" s="147"/>
      <c r="H686" s="146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6"/>
    </row>
    <row r="687">
      <c r="A687" s="146"/>
      <c r="B687" s="147"/>
      <c r="C687" s="147"/>
      <c r="D687" s="148"/>
      <c r="E687" s="147"/>
      <c r="F687" s="147"/>
      <c r="G687" s="147"/>
      <c r="H687" s="146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6"/>
    </row>
    <row r="688">
      <c r="A688" s="146"/>
      <c r="B688" s="147"/>
      <c r="C688" s="147"/>
      <c r="D688" s="148"/>
      <c r="E688" s="147"/>
      <c r="F688" s="147"/>
      <c r="G688" s="147"/>
      <c r="H688" s="146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6"/>
    </row>
    <row r="689">
      <c r="A689" s="146"/>
      <c r="B689" s="147"/>
      <c r="C689" s="147"/>
      <c r="D689" s="148"/>
      <c r="E689" s="147"/>
      <c r="F689" s="147"/>
      <c r="G689" s="147"/>
      <c r="H689" s="146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6"/>
    </row>
    <row r="690">
      <c r="A690" s="146"/>
      <c r="B690" s="147"/>
      <c r="C690" s="147"/>
      <c r="D690" s="148"/>
      <c r="E690" s="147"/>
      <c r="F690" s="147"/>
      <c r="G690" s="147"/>
      <c r="H690" s="146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6"/>
    </row>
    <row r="691">
      <c r="A691" s="146"/>
      <c r="B691" s="147"/>
      <c r="C691" s="147"/>
      <c r="D691" s="148"/>
      <c r="E691" s="147"/>
      <c r="F691" s="147"/>
      <c r="G691" s="147"/>
      <c r="H691" s="146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6"/>
    </row>
    <row r="692">
      <c r="A692" s="146"/>
      <c r="B692" s="147"/>
      <c r="C692" s="147"/>
      <c r="D692" s="148"/>
      <c r="E692" s="147"/>
      <c r="F692" s="147"/>
      <c r="G692" s="147"/>
      <c r="H692" s="146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6"/>
    </row>
    <row r="693">
      <c r="A693" s="146"/>
      <c r="B693" s="147"/>
      <c r="C693" s="147"/>
      <c r="D693" s="148"/>
      <c r="E693" s="147"/>
      <c r="F693" s="147"/>
      <c r="G693" s="147"/>
      <c r="H693" s="146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6"/>
    </row>
    <row r="694">
      <c r="A694" s="146"/>
      <c r="B694" s="147"/>
      <c r="C694" s="147"/>
      <c r="D694" s="148"/>
      <c r="E694" s="147"/>
      <c r="F694" s="147"/>
      <c r="G694" s="147"/>
      <c r="H694" s="146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6"/>
    </row>
    <row r="695">
      <c r="A695" s="146"/>
      <c r="B695" s="147"/>
      <c r="C695" s="147"/>
      <c r="D695" s="148"/>
      <c r="E695" s="147"/>
      <c r="F695" s="147"/>
      <c r="G695" s="147"/>
      <c r="H695" s="146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6"/>
    </row>
    <row r="696">
      <c r="A696" s="146"/>
      <c r="B696" s="147"/>
      <c r="C696" s="147"/>
      <c r="D696" s="148"/>
      <c r="E696" s="147"/>
      <c r="F696" s="147"/>
      <c r="G696" s="147"/>
      <c r="H696" s="146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6"/>
    </row>
    <row r="697">
      <c r="A697" s="146"/>
      <c r="B697" s="147"/>
      <c r="C697" s="147"/>
      <c r="D697" s="148"/>
      <c r="E697" s="147"/>
      <c r="F697" s="147"/>
      <c r="G697" s="147"/>
      <c r="H697" s="146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6"/>
    </row>
    <row r="698">
      <c r="A698" s="146"/>
      <c r="B698" s="147"/>
      <c r="C698" s="147"/>
      <c r="D698" s="148"/>
      <c r="E698" s="147"/>
      <c r="F698" s="147"/>
      <c r="G698" s="147"/>
      <c r="H698" s="146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6"/>
    </row>
    <row r="699">
      <c r="A699" s="146"/>
      <c r="B699" s="147"/>
      <c r="C699" s="147"/>
      <c r="D699" s="148"/>
      <c r="E699" s="147"/>
      <c r="F699" s="147"/>
      <c r="G699" s="147"/>
      <c r="H699" s="146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6"/>
    </row>
    <row r="700">
      <c r="A700" s="146"/>
      <c r="B700" s="147"/>
      <c r="C700" s="147"/>
      <c r="D700" s="148"/>
      <c r="E700" s="147"/>
      <c r="F700" s="147"/>
      <c r="G700" s="147"/>
      <c r="H700" s="146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6"/>
    </row>
    <row r="701">
      <c r="A701" s="146"/>
      <c r="B701" s="147"/>
      <c r="C701" s="147"/>
      <c r="D701" s="148"/>
      <c r="E701" s="147"/>
      <c r="F701" s="147"/>
      <c r="G701" s="147"/>
      <c r="H701" s="146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6"/>
    </row>
    <row r="702">
      <c r="A702" s="146"/>
      <c r="B702" s="147"/>
      <c r="C702" s="147"/>
      <c r="D702" s="148"/>
      <c r="E702" s="147"/>
      <c r="F702" s="147"/>
      <c r="G702" s="147"/>
      <c r="H702" s="146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6"/>
    </row>
    <row r="703">
      <c r="A703" s="146"/>
      <c r="B703" s="147"/>
      <c r="C703" s="147"/>
      <c r="D703" s="148"/>
      <c r="E703" s="147"/>
      <c r="F703" s="147"/>
      <c r="G703" s="147"/>
      <c r="H703" s="146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6"/>
    </row>
    <row r="704">
      <c r="A704" s="146"/>
      <c r="B704" s="147"/>
      <c r="C704" s="147"/>
      <c r="D704" s="148"/>
      <c r="E704" s="147"/>
      <c r="F704" s="147"/>
      <c r="G704" s="147"/>
      <c r="H704" s="146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6"/>
    </row>
    <row r="705">
      <c r="A705" s="146"/>
      <c r="B705" s="147"/>
      <c r="C705" s="147"/>
      <c r="D705" s="148"/>
      <c r="E705" s="147"/>
      <c r="F705" s="147"/>
      <c r="G705" s="147"/>
      <c r="H705" s="146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6"/>
    </row>
    <row r="706">
      <c r="A706" s="146"/>
      <c r="B706" s="147"/>
      <c r="C706" s="147"/>
      <c r="D706" s="148"/>
      <c r="E706" s="147"/>
      <c r="F706" s="147"/>
      <c r="G706" s="147"/>
      <c r="H706" s="146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6"/>
    </row>
    <row r="707">
      <c r="A707" s="146"/>
      <c r="B707" s="147"/>
      <c r="C707" s="147"/>
      <c r="D707" s="148"/>
      <c r="E707" s="147"/>
      <c r="F707" s="147"/>
      <c r="G707" s="147"/>
      <c r="H707" s="146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6"/>
    </row>
    <row r="708">
      <c r="A708" s="146"/>
      <c r="B708" s="147"/>
      <c r="C708" s="147"/>
      <c r="D708" s="148"/>
      <c r="E708" s="147"/>
      <c r="F708" s="147"/>
      <c r="G708" s="147"/>
      <c r="H708" s="146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6"/>
    </row>
    <row r="709">
      <c r="A709" s="146"/>
      <c r="B709" s="147"/>
      <c r="C709" s="147"/>
      <c r="D709" s="148"/>
      <c r="E709" s="147"/>
      <c r="F709" s="147"/>
      <c r="G709" s="147"/>
      <c r="H709" s="146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6"/>
    </row>
    <row r="710">
      <c r="A710" s="146"/>
      <c r="B710" s="147"/>
      <c r="C710" s="147"/>
      <c r="D710" s="148"/>
      <c r="E710" s="147"/>
      <c r="F710" s="147"/>
      <c r="G710" s="147"/>
      <c r="H710" s="146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6"/>
    </row>
    <row r="711">
      <c r="A711" s="146"/>
      <c r="B711" s="147"/>
      <c r="C711" s="147"/>
      <c r="D711" s="148"/>
      <c r="E711" s="147"/>
      <c r="F711" s="147"/>
      <c r="G711" s="147"/>
      <c r="H711" s="146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6"/>
    </row>
    <row r="712">
      <c r="A712" s="146"/>
      <c r="B712" s="147"/>
      <c r="C712" s="147"/>
      <c r="D712" s="148"/>
      <c r="E712" s="147"/>
      <c r="F712" s="147"/>
      <c r="G712" s="147"/>
      <c r="H712" s="146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6"/>
    </row>
    <row r="713">
      <c r="A713" s="146"/>
      <c r="B713" s="147"/>
      <c r="C713" s="147"/>
      <c r="D713" s="148"/>
      <c r="E713" s="147"/>
      <c r="F713" s="147"/>
      <c r="G713" s="147"/>
      <c r="H713" s="146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6"/>
    </row>
    <row r="714">
      <c r="A714" s="146"/>
      <c r="B714" s="147"/>
      <c r="C714" s="147"/>
      <c r="D714" s="148"/>
      <c r="E714" s="147"/>
      <c r="F714" s="147"/>
      <c r="G714" s="147"/>
      <c r="H714" s="146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6"/>
    </row>
    <row r="715">
      <c r="A715" s="146"/>
      <c r="B715" s="147"/>
      <c r="C715" s="147"/>
      <c r="D715" s="148"/>
      <c r="E715" s="147"/>
      <c r="F715" s="147"/>
      <c r="G715" s="147"/>
      <c r="H715" s="146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6"/>
    </row>
    <row r="716">
      <c r="A716" s="146"/>
      <c r="B716" s="147"/>
      <c r="C716" s="147"/>
      <c r="D716" s="148"/>
      <c r="E716" s="147"/>
      <c r="F716" s="147"/>
      <c r="G716" s="147"/>
      <c r="H716" s="146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6"/>
    </row>
    <row r="717">
      <c r="A717" s="146"/>
      <c r="B717" s="147"/>
      <c r="C717" s="147"/>
      <c r="D717" s="148"/>
      <c r="E717" s="147"/>
      <c r="F717" s="147"/>
      <c r="G717" s="147"/>
      <c r="H717" s="146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6"/>
    </row>
    <row r="718">
      <c r="A718" s="146"/>
      <c r="B718" s="147"/>
      <c r="C718" s="147"/>
      <c r="D718" s="148"/>
      <c r="E718" s="147"/>
      <c r="F718" s="147"/>
      <c r="G718" s="147"/>
      <c r="H718" s="146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6"/>
    </row>
    <row r="719">
      <c r="A719" s="146"/>
      <c r="B719" s="147"/>
      <c r="C719" s="147"/>
      <c r="D719" s="148"/>
      <c r="E719" s="147"/>
      <c r="F719" s="147"/>
      <c r="G719" s="147"/>
      <c r="H719" s="146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6"/>
    </row>
    <row r="720">
      <c r="A720" s="146"/>
      <c r="B720" s="147"/>
      <c r="C720" s="147"/>
      <c r="D720" s="148"/>
      <c r="E720" s="147"/>
      <c r="F720" s="147"/>
      <c r="G720" s="147"/>
      <c r="H720" s="146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6"/>
    </row>
    <row r="721">
      <c r="A721" s="146"/>
      <c r="B721" s="147"/>
      <c r="C721" s="147"/>
      <c r="D721" s="148"/>
      <c r="E721" s="147"/>
      <c r="F721" s="147"/>
      <c r="G721" s="147"/>
      <c r="H721" s="146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6"/>
    </row>
    <row r="722">
      <c r="A722" s="146"/>
      <c r="B722" s="147"/>
      <c r="C722" s="147"/>
      <c r="D722" s="148"/>
      <c r="E722" s="147"/>
      <c r="F722" s="147"/>
      <c r="G722" s="147"/>
      <c r="H722" s="146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6"/>
    </row>
    <row r="723">
      <c r="A723" s="146"/>
      <c r="B723" s="147"/>
      <c r="C723" s="147"/>
      <c r="D723" s="148"/>
      <c r="E723" s="147"/>
      <c r="F723" s="147"/>
      <c r="G723" s="147"/>
      <c r="H723" s="146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6"/>
    </row>
    <row r="724">
      <c r="A724" s="146"/>
      <c r="B724" s="147"/>
      <c r="C724" s="147"/>
      <c r="D724" s="148"/>
      <c r="E724" s="147"/>
      <c r="F724" s="147"/>
      <c r="G724" s="147"/>
      <c r="H724" s="146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6"/>
    </row>
    <row r="725">
      <c r="A725" s="146"/>
      <c r="B725" s="147"/>
      <c r="C725" s="147"/>
      <c r="D725" s="148"/>
      <c r="E725" s="147"/>
      <c r="F725" s="147"/>
      <c r="G725" s="147"/>
      <c r="H725" s="146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6"/>
    </row>
    <row r="726">
      <c r="A726" s="146"/>
      <c r="B726" s="147"/>
      <c r="C726" s="147"/>
      <c r="D726" s="148"/>
      <c r="E726" s="147"/>
      <c r="F726" s="147"/>
      <c r="G726" s="147"/>
      <c r="H726" s="146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6"/>
    </row>
    <row r="727">
      <c r="A727" s="146"/>
      <c r="B727" s="147"/>
      <c r="C727" s="147"/>
      <c r="D727" s="148"/>
      <c r="E727" s="147"/>
      <c r="F727" s="147"/>
      <c r="G727" s="147"/>
      <c r="H727" s="146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6"/>
    </row>
    <row r="728">
      <c r="A728" s="146"/>
      <c r="B728" s="147"/>
      <c r="C728" s="147"/>
      <c r="D728" s="148"/>
      <c r="E728" s="147"/>
      <c r="F728" s="147"/>
      <c r="G728" s="147"/>
      <c r="H728" s="146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6"/>
    </row>
    <row r="729">
      <c r="A729" s="146"/>
      <c r="B729" s="147"/>
      <c r="C729" s="147"/>
      <c r="D729" s="148"/>
      <c r="E729" s="147"/>
      <c r="F729" s="147"/>
      <c r="G729" s="147"/>
      <c r="H729" s="146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6"/>
    </row>
    <row r="730">
      <c r="A730" s="146"/>
      <c r="B730" s="147"/>
      <c r="C730" s="147"/>
      <c r="D730" s="148"/>
      <c r="E730" s="147"/>
      <c r="F730" s="147"/>
      <c r="G730" s="147"/>
      <c r="H730" s="146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6"/>
    </row>
    <row r="731">
      <c r="A731" s="146"/>
      <c r="B731" s="147"/>
      <c r="C731" s="147"/>
      <c r="D731" s="148"/>
      <c r="E731" s="147"/>
      <c r="F731" s="147"/>
      <c r="G731" s="147"/>
      <c r="H731" s="146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6"/>
    </row>
    <row r="732">
      <c r="A732" s="146"/>
      <c r="B732" s="147"/>
      <c r="C732" s="147"/>
      <c r="D732" s="148"/>
      <c r="E732" s="147"/>
      <c r="F732" s="147"/>
      <c r="G732" s="147"/>
      <c r="H732" s="146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6"/>
    </row>
    <row r="733">
      <c r="A733" s="146"/>
      <c r="B733" s="147"/>
      <c r="C733" s="147"/>
      <c r="D733" s="148"/>
      <c r="E733" s="147"/>
      <c r="F733" s="147"/>
      <c r="G733" s="147"/>
      <c r="H733" s="146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6"/>
    </row>
    <row r="734">
      <c r="A734" s="146"/>
      <c r="B734" s="147"/>
      <c r="C734" s="147"/>
      <c r="D734" s="148"/>
      <c r="E734" s="147"/>
      <c r="F734" s="147"/>
      <c r="G734" s="147"/>
      <c r="H734" s="146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6"/>
    </row>
    <row r="735">
      <c r="A735" s="146"/>
      <c r="B735" s="147"/>
      <c r="C735" s="147"/>
      <c r="D735" s="148"/>
      <c r="E735" s="147"/>
      <c r="F735" s="147"/>
      <c r="G735" s="147"/>
      <c r="H735" s="146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6"/>
    </row>
    <row r="736">
      <c r="A736" s="146"/>
      <c r="B736" s="147"/>
      <c r="C736" s="147"/>
      <c r="D736" s="148"/>
      <c r="E736" s="147"/>
      <c r="F736" s="147"/>
      <c r="G736" s="147"/>
      <c r="H736" s="146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6"/>
    </row>
    <row r="737">
      <c r="A737" s="146"/>
      <c r="B737" s="147"/>
      <c r="C737" s="147"/>
      <c r="D737" s="148"/>
      <c r="E737" s="147"/>
      <c r="F737" s="147"/>
      <c r="G737" s="147"/>
      <c r="H737" s="146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6"/>
    </row>
    <row r="738">
      <c r="A738" s="146"/>
      <c r="B738" s="147"/>
      <c r="C738" s="147"/>
      <c r="D738" s="148"/>
      <c r="E738" s="147"/>
      <c r="F738" s="147"/>
      <c r="G738" s="147"/>
      <c r="H738" s="146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6"/>
    </row>
    <row r="739">
      <c r="A739" s="146"/>
      <c r="B739" s="147"/>
      <c r="C739" s="147"/>
      <c r="D739" s="148"/>
      <c r="E739" s="147"/>
      <c r="F739" s="147"/>
      <c r="G739" s="147"/>
      <c r="H739" s="146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6"/>
    </row>
    <row r="740">
      <c r="A740" s="146"/>
      <c r="B740" s="147"/>
      <c r="C740" s="147"/>
      <c r="D740" s="148"/>
      <c r="E740" s="147"/>
      <c r="F740" s="147"/>
      <c r="G740" s="147"/>
      <c r="H740" s="146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6"/>
    </row>
    <row r="741">
      <c r="A741" s="146"/>
      <c r="B741" s="147"/>
      <c r="C741" s="147"/>
      <c r="D741" s="148"/>
      <c r="E741" s="147"/>
      <c r="F741" s="147"/>
      <c r="G741" s="147"/>
      <c r="H741" s="146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6"/>
    </row>
    <row r="742">
      <c r="A742" s="146"/>
      <c r="B742" s="147"/>
      <c r="C742" s="147"/>
      <c r="D742" s="148"/>
      <c r="E742" s="147"/>
      <c r="F742" s="147"/>
      <c r="G742" s="147"/>
      <c r="H742" s="146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6"/>
    </row>
    <row r="743">
      <c r="A743" s="146"/>
      <c r="B743" s="147"/>
      <c r="C743" s="147"/>
      <c r="D743" s="148"/>
      <c r="E743" s="147"/>
      <c r="F743" s="147"/>
      <c r="G743" s="147"/>
      <c r="H743" s="146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6"/>
    </row>
    <row r="744">
      <c r="A744" s="146"/>
      <c r="B744" s="147"/>
      <c r="C744" s="147"/>
      <c r="D744" s="148"/>
      <c r="E744" s="147"/>
      <c r="F744" s="147"/>
      <c r="G744" s="147"/>
      <c r="H744" s="146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6"/>
    </row>
    <row r="745">
      <c r="A745" s="146"/>
      <c r="B745" s="147"/>
      <c r="C745" s="147"/>
      <c r="D745" s="148"/>
      <c r="E745" s="147"/>
      <c r="F745" s="147"/>
      <c r="G745" s="147"/>
      <c r="H745" s="146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6"/>
    </row>
    <row r="746">
      <c r="A746" s="146"/>
      <c r="B746" s="147"/>
      <c r="C746" s="147"/>
      <c r="D746" s="148"/>
      <c r="E746" s="147"/>
      <c r="F746" s="147"/>
      <c r="G746" s="147"/>
      <c r="H746" s="146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6"/>
    </row>
    <row r="747">
      <c r="A747" s="146"/>
      <c r="B747" s="147"/>
      <c r="C747" s="147"/>
      <c r="D747" s="148"/>
      <c r="E747" s="147"/>
      <c r="F747" s="147"/>
      <c r="G747" s="147"/>
      <c r="H747" s="146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6"/>
    </row>
    <row r="748">
      <c r="A748" s="146"/>
      <c r="B748" s="147"/>
      <c r="C748" s="147"/>
      <c r="D748" s="148"/>
      <c r="E748" s="147"/>
      <c r="F748" s="147"/>
      <c r="G748" s="147"/>
      <c r="H748" s="146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6"/>
    </row>
    <row r="749">
      <c r="A749" s="146"/>
      <c r="B749" s="147"/>
      <c r="C749" s="147"/>
      <c r="D749" s="148"/>
      <c r="E749" s="147"/>
      <c r="F749" s="147"/>
      <c r="G749" s="147"/>
      <c r="H749" s="146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6"/>
    </row>
    <row r="750">
      <c r="A750" s="146"/>
      <c r="B750" s="147"/>
      <c r="C750" s="147"/>
      <c r="D750" s="148"/>
      <c r="E750" s="147"/>
      <c r="F750" s="147"/>
      <c r="G750" s="147"/>
      <c r="H750" s="146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6"/>
    </row>
    <row r="751">
      <c r="A751" s="146"/>
      <c r="B751" s="147"/>
      <c r="C751" s="147"/>
      <c r="D751" s="148"/>
      <c r="E751" s="147"/>
      <c r="F751" s="147"/>
      <c r="G751" s="147"/>
      <c r="H751" s="146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6"/>
    </row>
    <row r="752">
      <c r="A752" s="146"/>
      <c r="B752" s="147"/>
      <c r="C752" s="147"/>
      <c r="D752" s="148"/>
      <c r="E752" s="147"/>
      <c r="F752" s="147"/>
      <c r="G752" s="147"/>
      <c r="H752" s="146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6"/>
    </row>
    <row r="753">
      <c r="A753" s="146"/>
      <c r="B753" s="147"/>
      <c r="C753" s="147"/>
      <c r="D753" s="148"/>
      <c r="E753" s="147"/>
      <c r="F753" s="147"/>
      <c r="G753" s="147"/>
      <c r="H753" s="146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6"/>
    </row>
    <row r="754">
      <c r="A754" s="146"/>
      <c r="B754" s="147"/>
      <c r="C754" s="147"/>
      <c r="D754" s="148"/>
      <c r="E754" s="147"/>
      <c r="F754" s="147"/>
      <c r="G754" s="147"/>
      <c r="H754" s="146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6"/>
    </row>
    <row r="755">
      <c r="A755" s="146"/>
      <c r="B755" s="147"/>
      <c r="C755" s="147"/>
      <c r="D755" s="148"/>
      <c r="E755" s="147"/>
      <c r="F755" s="147"/>
      <c r="G755" s="147"/>
      <c r="H755" s="146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6"/>
    </row>
    <row r="756">
      <c r="A756" s="146"/>
      <c r="B756" s="147"/>
      <c r="C756" s="147"/>
      <c r="D756" s="148"/>
      <c r="E756" s="147"/>
      <c r="F756" s="147"/>
      <c r="G756" s="147"/>
      <c r="H756" s="146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6"/>
    </row>
    <row r="757">
      <c r="A757" s="146"/>
      <c r="B757" s="147"/>
      <c r="C757" s="147"/>
      <c r="D757" s="148"/>
      <c r="E757" s="147"/>
      <c r="F757" s="147"/>
      <c r="G757" s="147"/>
      <c r="H757" s="146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6"/>
    </row>
    <row r="758">
      <c r="A758" s="146"/>
      <c r="B758" s="147"/>
      <c r="C758" s="147"/>
      <c r="D758" s="148"/>
      <c r="E758" s="147"/>
      <c r="F758" s="147"/>
      <c r="G758" s="147"/>
      <c r="H758" s="146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6"/>
    </row>
    <row r="759">
      <c r="A759" s="146"/>
      <c r="B759" s="147"/>
      <c r="C759" s="147"/>
      <c r="D759" s="148"/>
      <c r="E759" s="147"/>
      <c r="F759" s="147"/>
      <c r="G759" s="147"/>
      <c r="H759" s="146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6"/>
    </row>
    <row r="760">
      <c r="A760" s="146"/>
      <c r="B760" s="147"/>
      <c r="C760" s="147"/>
      <c r="D760" s="148"/>
      <c r="E760" s="147"/>
      <c r="F760" s="147"/>
      <c r="G760" s="147"/>
      <c r="H760" s="146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6"/>
    </row>
    <row r="761">
      <c r="A761" s="146"/>
      <c r="B761" s="147"/>
      <c r="C761" s="147"/>
      <c r="D761" s="148"/>
      <c r="E761" s="147"/>
      <c r="F761" s="147"/>
      <c r="G761" s="147"/>
      <c r="H761" s="146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6"/>
    </row>
    <row r="762">
      <c r="A762" s="146"/>
      <c r="B762" s="147"/>
      <c r="C762" s="147"/>
      <c r="D762" s="148"/>
      <c r="E762" s="147"/>
      <c r="F762" s="147"/>
      <c r="G762" s="147"/>
      <c r="H762" s="146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6"/>
    </row>
    <row r="763">
      <c r="A763" s="146"/>
      <c r="B763" s="147"/>
      <c r="C763" s="147"/>
      <c r="D763" s="148"/>
      <c r="E763" s="147"/>
      <c r="F763" s="147"/>
      <c r="G763" s="147"/>
      <c r="H763" s="146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6"/>
    </row>
    <row r="764">
      <c r="A764" s="146"/>
      <c r="B764" s="147"/>
      <c r="C764" s="147"/>
      <c r="D764" s="148"/>
      <c r="E764" s="147"/>
      <c r="F764" s="147"/>
      <c r="G764" s="147"/>
      <c r="H764" s="146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6"/>
    </row>
    <row r="765">
      <c r="A765" s="146"/>
      <c r="B765" s="147"/>
      <c r="C765" s="147"/>
      <c r="D765" s="148"/>
      <c r="E765" s="147"/>
      <c r="F765" s="147"/>
      <c r="G765" s="147"/>
      <c r="H765" s="146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6"/>
    </row>
    <row r="766">
      <c r="A766" s="146"/>
      <c r="B766" s="147"/>
      <c r="C766" s="147"/>
      <c r="D766" s="148"/>
      <c r="E766" s="147"/>
      <c r="F766" s="147"/>
      <c r="G766" s="147"/>
      <c r="H766" s="146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6"/>
    </row>
    <row r="767">
      <c r="A767" s="146"/>
      <c r="B767" s="147"/>
      <c r="C767" s="147"/>
      <c r="D767" s="148"/>
      <c r="E767" s="147"/>
      <c r="F767" s="147"/>
      <c r="G767" s="147"/>
      <c r="H767" s="146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6"/>
    </row>
    <row r="768">
      <c r="A768" s="146"/>
      <c r="B768" s="147"/>
      <c r="C768" s="147"/>
      <c r="D768" s="148"/>
      <c r="E768" s="147"/>
      <c r="F768" s="147"/>
      <c r="G768" s="147"/>
      <c r="H768" s="146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6"/>
    </row>
    <row r="769">
      <c r="A769" s="146"/>
      <c r="B769" s="147"/>
      <c r="C769" s="147"/>
      <c r="D769" s="148"/>
      <c r="E769" s="147"/>
      <c r="F769" s="147"/>
      <c r="G769" s="147"/>
      <c r="H769" s="146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6"/>
    </row>
    <row r="770">
      <c r="A770" s="146"/>
      <c r="B770" s="147"/>
      <c r="C770" s="147"/>
      <c r="D770" s="148"/>
      <c r="E770" s="147"/>
      <c r="F770" s="147"/>
      <c r="G770" s="147"/>
      <c r="H770" s="146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6"/>
    </row>
    <row r="771">
      <c r="A771" s="146"/>
      <c r="B771" s="147"/>
      <c r="C771" s="147"/>
      <c r="D771" s="148"/>
      <c r="E771" s="147"/>
      <c r="F771" s="147"/>
      <c r="G771" s="147"/>
      <c r="H771" s="146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6"/>
    </row>
    <row r="772">
      <c r="A772" s="146"/>
      <c r="B772" s="147"/>
      <c r="C772" s="147"/>
      <c r="D772" s="148"/>
      <c r="E772" s="147"/>
      <c r="F772" s="147"/>
      <c r="G772" s="147"/>
      <c r="H772" s="146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6"/>
    </row>
    <row r="773">
      <c r="A773" s="146"/>
      <c r="B773" s="147"/>
      <c r="C773" s="147"/>
      <c r="D773" s="148"/>
      <c r="E773" s="147"/>
      <c r="F773" s="147"/>
      <c r="G773" s="147"/>
      <c r="H773" s="146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6"/>
    </row>
    <row r="774">
      <c r="A774" s="146"/>
      <c r="B774" s="147"/>
      <c r="C774" s="147"/>
      <c r="D774" s="148"/>
      <c r="E774" s="147"/>
      <c r="F774" s="147"/>
      <c r="G774" s="147"/>
      <c r="H774" s="146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6"/>
    </row>
    <row r="775">
      <c r="A775" s="146"/>
      <c r="B775" s="147"/>
      <c r="C775" s="147"/>
      <c r="D775" s="148"/>
      <c r="E775" s="147"/>
      <c r="F775" s="147"/>
      <c r="G775" s="147"/>
      <c r="H775" s="146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6"/>
    </row>
    <row r="776">
      <c r="A776" s="146"/>
      <c r="B776" s="147"/>
      <c r="C776" s="147"/>
      <c r="D776" s="148"/>
      <c r="E776" s="147"/>
      <c r="F776" s="147"/>
      <c r="G776" s="147"/>
      <c r="H776" s="146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6"/>
    </row>
    <row r="777">
      <c r="A777" s="146"/>
      <c r="B777" s="147"/>
      <c r="C777" s="147"/>
      <c r="D777" s="148"/>
      <c r="E777" s="147"/>
      <c r="F777" s="147"/>
      <c r="G777" s="147"/>
      <c r="H777" s="146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6"/>
    </row>
    <row r="778">
      <c r="A778" s="146"/>
      <c r="B778" s="147"/>
      <c r="C778" s="147"/>
      <c r="D778" s="148"/>
      <c r="E778" s="147"/>
      <c r="F778" s="147"/>
      <c r="G778" s="147"/>
      <c r="H778" s="146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6"/>
    </row>
    <row r="779">
      <c r="A779" s="146"/>
      <c r="B779" s="147"/>
      <c r="C779" s="147"/>
      <c r="D779" s="148"/>
      <c r="E779" s="147"/>
      <c r="F779" s="147"/>
      <c r="G779" s="147"/>
      <c r="H779" s="146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6"/>
    </row>
    <row r="780">
      <c r="A780" s="146"/>
      <c r="B780" s="147"/>
      <c r="C780" s="147"/>
      <c r="D780" s="148"/>
      <c r="E780" s="147"/>
      <c r="F780" s="147"/>
      <c r="G780" s="147"/>
      <c r="H780" s="146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6"/>
    </row>
    <row r="781">
      <c r="A781" s="146"/>
      <c r="B781" s="147"/>
      <c r="C781" s="147"/>
      <c r="D781" s="148"/>
      <c r="E781" s="147"/>
      <c r="F781" s="147"/>
      <c r="G781" s="147"/>
      <c r="H781" s="146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6"/>
    </row>
    <row r="782">
      <c r="A782" s="146"/>
      <c r="B782" s="147"/>
      <c r="C782" s="147"/>
      <c r="D782" s="148"/>
      <c r="E782" s="147"/>
      <c r="F782" s="147"/>
      <c r="G782" s="147"/>
      <c r="H782" s="146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6"/>
    </row>
    <row r="783">
      <c r="A783" s="146"/>
      <c r="B783" s="147"/>
      <c r="C783" s="147"/>
      <c r="D783" s="148"/>
      <c r="E783" s="147"/>
      <c r="F783" s="147"/>
      <c r="G783" s="147"/>
      <c r="H783" s="146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6"/>
    </row>
    <row r="784">
      <c r="A784" s="146"/>
      <c r="B784" s="147"/>
      <c r="C784" s="147"/>
      <c r="D784" s="148"/>
      <c r="E784" s="147"/>
      <c r="F784" s="147"/>
      <c r="G784" s="147"/>
      <c r="H784" s="146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6"/>
    </row>
    <row r="785">
      <c r="A785" s="146"/>
      <c r="B785" s="147"/>
      <c r="C785" s="147"/>
      <c r="D785" s="148"/>
      <c r="E785" s="147"/>
      <c r="F785" s="147"/>
      <c r="G785" s="147"/>
      <c r="H785" s="146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6"/>
    </row>
    <row r="786">
      <c r="A786" s="146"/>
      <c r="B786" s="147"/>
      <c r="C786" s="147"/>
      <c r="D786" s="148"/>
      <c r="E786" s="147"/>
      <c r="F786" s="147"/>
      <c r="G786" s="147"/>
      <c r="H786" s="146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6"/>
    </row>
    <row r="787">
      <c r="A787" s="146"/>
      <c r="B787" s="147"/>
      <c r="C787" s="147"/>
      <c r="D787" s="148"/>
      <c r="E787" s="147"/>
      <c r="F787" s="147"/>
      <c r="G787" s="147"/>
      <c r="H787" s="146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6"/>
    </row>
    <row r="788">
      <c r="A788" s="146"/>
      <c r="B788" s="147"/>
      <c r="C788" s="147"/>
      <c r="D788" s="148"/>
      <c r="E788" s="147"/>
      <c r="F788" s="147"/>
      <c r="G788" s="147"/>
      <c r="H788" s="146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6"/>
    </row>
    <row r="789">
      <c r="A789" s="146"/>
      <c r="B789" s="147"/>
      <c r="C789" s="147"/>
      <c r="D789" s="148"/>
      <c r="E789" s="147"/>
      <c r="F789" s="147"/>
      <c r="G789" s="147"/>
      <c r="H789" s="146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6"/>
    </row>
    <row r="790">
      <c r="A790" s="146"/>
      <c r="B790" s="147"/>
      <c r="C790" s="147"/>
      <c r="D790" s="148"/>
      <c r="E790" s="147"/>
      <c r="F790" s="147"/>
      <c r="G790" s="147"/>
      <c r="H790" s="146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6"/>
    </row>
    <row r="791">
      <c r="A791" s="146"/>
      <c r="B791" s="147"/>
      <c r="C791" s="147"/>
      <c r="D791" s="148"/>
      <c r="E791" s="147"/>
      <c r="F791" s="147"/>
      <c r="G791" s="147"/>
      <c r="H791" s="146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6"/>
    </row>
    <row r="792">
      <c r="A792" s="146"/>
      <c r="B792" s="147"/>
      <c r="C792" s="147"/>
      <c r="D792" s="148"/>
      <c r="E792" s="147"/>
      <c r="F792" s="147"/>
      <c r="G792" s="147"/>
      <c r="H792" s="146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6"/>
    </row>
    <row r="793">
      <c r="A793" s="146"/>
      <c r="B793" s="147"/>
      <c r="C793" s="147"/>
      <c r="D793" s="148"/>
      <c r="E793" s="147"/>
      <c r="F793" s="147"/>
      <c r="G793" s="147"/>
      <c r="H793" s="146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6"/>
    </row>
    <row r="794">
      <c r="A794" s="146"/>
      <c r="B794" s="147"/>
      <c r="C794" s="147"/>
      <c r="D794" s="148"/>
      <c r="E794" s="147"/>
      <c r="F794" s="147"/>
      <c r="G794" s="147"/>
      <c r="H794" s="146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6"/>
    </row>
    <row r="795">
      <c r="A795" s="146"/>
      <c r="B795" s="147"/>
      <c r="C795" s="147"/>
      <c r="D795" s="148"/>
      <c r="E795" s="147"/>
      <c r="F795" s="147"/>
      <c r="G795" s="147"/>
      <c r="H795" s="146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6"/>
    </row>
    <row r="796">
      <c r="A796" s="146"/>
      <c r="B796" s="147"/>
      <c r="C796" s="147"/>
      <c r="D796" s="148"/>
      <c r="E796" s="147"/>
      <c r="F796" s="147"/>
      <c r="G796" s="147"/>
      <c r="H796" s="146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6"/>
    </row>
    <row r="797">
      <c r="A797" s="146"/>
      <c r="B797" s="147"/>
      <c r="C797" s="147"/>
      <c r="D797" s="148"/>
      <c r="E797" s="147"/>
      <c r="F797" s="147"/>
      <c r="G797" s="147"/>
      <c r="H797" s="146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6"/>
    </row>
    <row r="798">
      <c r="A798" s="146"/>
      <c r="B798" s="147"/>
      <c r="C798" s="147"/>
      <c r="D798" s="148"/>
      <c r="E798" s="147"/>
      <c r="F798" s="147"/>
      <c r="G798" s="147"/>
      <c r="H798" s="146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6"/>
    </row>
    <row r="799">
      <c r="A799" s="146"/>
      <c r="B799" s="147"/>
      <c r="C799" s="147"/>
      <c r="D799" s="148"/>
      <c r="E799" s="147"/>
      <c r="F799" s="147"/>
      <c r="G799" s="147"/>
      <c r="H799" s="146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6"/>
    </row>
    <row r="800">
      <c r="A800" s="146"/>
      <c r="B800" s="147"/>
      <c r="C800" s="147"/>
      <c r="D800" s="148"/>
      <c r="E800" s="147"/>
      <c r="F800" s="147"/>
      <c r="G800" s="147"/>
      <c r="H800" s="146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6"/>
    </row>
    <row r="801">
      <c r="A801" s="146"/>
      <c r="B801" s="147"/>
      <c r="C801" s="147"/>
      <c r="D801" s="148"/>
      <c r="E801" s="147"/>
      <c r="F801" s="147"/>
      <c r="G801" s="147"/>
      <c r="H801" s="146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6"/>
    </row>
    <row r="802">
      <c r="A802" s="146"/>
      <c r="B802" s="147"/>
      <c r="C802" s="147"/>
      <c r="D802" s="148"/>
      <c r="E802" s="147"/>
      <c r="F802" s="147"/>
      <c r="G802" s="147"/>
      <c r="H802" s="146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6"/>
    </row>
    <row r="803">
      <c r="A803" s="146"/>
      <c r="B803" s="147"/>
      <c r="C803" s="147"/>
      <c r="D803" s="148"/>
      <c r="E803" s="147"/>
      <c r="F803" s="147"/>
      <c r="G803" s="147"/>
      <c r="H803" s="146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6"/>
    </row>
    <row r="804">
      <c r="A804" s="146"/>
      <c r="B804" s="147"/>
      <c r="C804" s="147"/>
      <c r="D804" s="148"/>
      <c r="E804" s="147"/>
      <c r="F804" s="147"/>
      <c r="G804" s="147"/>
      <c r="H804" s="146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6"/>
    </row>
    <row r="805">
      <c r="A805" s="146"/>
      <c r="B805" s="147"/>
      <c r="C805" s="147"/>
      <c r="D805" s="148"/>
      <c r="E805" s="147"/>
      <c r="F805" s="147"/>
      <c r="G805" s="147"/>
      <c r="H805" s="146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6"/>
    </row>
    <row r="806">
      <c r="A806" s="146"/>
      <c r="B806" s="147"/>
      <c r="C806" s="147"/>
      <c r="D806" s="148"/>
      <c r="E806" s="147"/>
      <c r="F806" s="147"/>
      <c r="G806" s="147"/>
      <c r="H806" s="146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6"/>
    </row>
    <row r="807">
      <c r="A807" s="146"/>
      <c r="B807" s="147"/>
      <c r="C807" s="147"/>
      <c r="D807" s="148"/>
      <c r="E807" s="147"/>
      <c r="F807" s="147"/>
      <c r="G807" s="147"/>
      <c r="H807" s="146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6"/>
    </row>
    <row r="808">
      <c r="A808" s="146"/>
      <c r="B808" s="147"/>
      <c r="C808" s="147"/>
      <c r="D808" s="148"/>
      <c r="E808" s="147"/>
      <c r="F808" s="147"/>
      <c r="G808" s="147"/>
      <c r="H808" s="146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6"/>
    </row>
    <row r="809">
      <c r="A809" s="146"/>
      <c r="B809" s="147"/>
      <c r="C809" s="147"/>
      <c r="D809" s="148"/>
      <c r="E809" s="147"/>
      <c r="F809" s="147"/>
      <c r="G809" s="147"/>
      <c r="H809" s="146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6"/>
    </row>
    <row r="810">
      <c r="A810" s="146"/>
      <c r="B810" s="147"/>
      <c r="C810" s="147"/>
      <c r="D810" s="148"/>
      <c r="E810" s="147"/>
      <c r="F810" s="147"/>
      <c r="G810" s="147"/>
      <c r="H810" s="146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6"/>
    </row>
    <row r="811">
      <c r="A811" s="146"/>
      <c r="B811" s="147"/>
      <c r="C811" s="147"/>
      <c r="D811" s="148"/>
      <c r="E811" s="147"/>
      <c r="F811" s="147"/>
      <c r="G811" s="147"/>
      <c r="H811" s="146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6"/>
    </row>
    <row r="812">
      <c r="A812" s="146"/>
      <c r="B812" s="147"/>
      <c r="C812" s="147"/>
      <c r="D812" s="148"/>
      <c r="E812" s="147"/>
      <c r="F812" s="147"/>
      <c r="G812" s="147"/>
      <c r="H812" s="146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6"/>
    </row>
    <row r="813">
      <c r="A813" s="146"/>
      <c r="B813" s="147"/>
      <c r="C813" s="147"/>
      <c r="D813" s="148"/>
      <c r="E813" s="147"/>
      <c r="F813" s="147"/>
      <c r="G813" s="147"/>
      <c r="H813" s="146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6"/>
    </row>
    <row r="814">
      <c r="A814" s="146"/>
      <c r="B814" s="147"/>
      <c r="C814" s="147"/>
      <c r="D814" s="148"/>
      <c r="E814" s="147"/>
      <c r="F814" s="147"/>
      <c r="G814" s="147"/>
      <c r="H814" s="146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6"/>
    </row>
    <row r="815">
      <c r="A815" s="146"/>
      <c r="B815" s="147"/>
      <c r="C815" s="147"/>
      <c r="D815" s="148"/>
      <c r="E815" s="147"/>
      <c r="F815" s="147"/>
      <c r="G815" s="147"/>
      <c r="H815" s="146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6"/>
    </row>
    <row r="816">
      <c r="A816" s="146"/>
      <c r="B816" s="147"/>
      <c r="C816" s="147"/>
      <c r="D816" s="148"/>
      <c r="E816" s="147"/>
      <c r="F816" s="147"/>
      <c r="G816" s="147"/>
      <c r="H816" s="146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6"/>
    </row>
    <row r="817">
      <c r="A817" s="146"/>
      <c r="B817" s="147"/>
      <c r="C817" s="147"/>
      <c r="D817" s="148"/>
      <c r="E817" s="147"/>
      <c r="F817" s="147"/>
      <c r="G817" s="147"/>
      <c r="H817" s="146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6"/>
    </row>
    <row r="818">
      <c r="A818" s="146"/>
      <c r="B818" s="147"/>
      <c r="C818" s="147"/>
      <c r="D818" s="148"/>
      <c r="E818" s="147"/>
      <c r="F818" s="147"/>
      <c r="G818" s="147"/>
      <c r="H818" s="146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6"/>
    </row>
    <row r="819">
      <c r="A819" s="146"/>
      <c r="B819" s="147"/>
      <c r="C819" s="147"/>
      <c r="D819" s="148"/>
      <c r="E819" s="147"/>
      <c r="F819" s="147"/>
      <c r="G819" s="147"/>
      <c r="H819" s="146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6"/>
    </row>
    <row r="820">
      <c r="A820" s="146"/>
      <c r="B820" s="147"/>
      <c r="C820" s="147"/>
      <c r="D820" s="148"/>
      <c r="E820" s="147"/>
      <c r="F820" s="147"/>
      <c r="G820" s="147"/>
      <c r="H820" s="146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6"/>
    </row>
    <row r="821">
      <c r="A821" s="146"/>
      <c r="B821" s="147"/>
      <c r="C821" s="147"/>
      <c r="D821" s="148"/>
      <c r="E821" s="147"/>
      <c r="F821" s="147"/>
      <c r="G821" s="147"/>
      <c r="H821" s="146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6"/>
    </row>
    <row r="822">
      <c r="A822" s="146"/>
      <c r="B822" s="147"/>
      <c r="C822" s="147"/>
      <c r="D822" s="148"/>
      <c r="E822" s="147"/>
      <c r="F822" s="147"/>
      <c r="G822" s="147"/>
      <c r="H822" s="146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6"/>
    </row>
    <row r="823">
      <c r="A823" s="146"/>
      <c r="B823" s="147"/>
      <c r="C823" s="147"/>
      <c r="D823" s="148"/>
      <c r="E823" s="147"/>
      <c r="F823" s="147"/>
      <c r="G823" s="147"/>
      <c r="H823" s="146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6"/>
    </row>
    <row r="824">
      <c r="A824" s="146"/>
      <c r="B824" s="147"/>
      <c r="C824" s="147"/>
      <c r="D824" s="148"/>
      <c r="E824" s="147"/>
      <c r="F824" s="147"/>
      <c r="G824" s="147"/>
      <c r="H824" s="146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6"/>
    </row>
    <row r="825">
      <c r="A825" s="146"/>
      <c r="B825" s="147"/>
      <c r="C825" s="147"/>
      <c r="D825" s="148"/>
      <c r="E825" s="147"/>
      <c r="F825" s="147"/>
      <c r="G825" s="147"/>
      <c r="H825" s="146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6"/>
    </row>
    <row r="826">
      <c r="A826" s="146"/>
      <c r="B826" s="147"/>
      <c r="C826" s="147"/>
      <c r="D826" s="148"/>
      <c r="E826" s="147"/>
      <c r="F826" s="147"/>
      <c r="G826" s="147"/>
      <c r="H826" s="146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6"/>
    </row>
    <row r="827">
      <c r="A827" s="146"/>
      <c r="B827" s="147"/>
      <c r="C827" s="147"/>
      <c r="D827" s="148"/>
      <c r="E827" s="147"/>
      <c r="F827" s="147"/>
      <c r="G827" s="147"/>
      <c r="H827" s="146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6"/>
    </row>
    <row r="828">
      <c r="A828" s="146"/>
      <c r="B828" s="147"/>
      <c r="C828" s="147"/>
      <c r="D828" s="148"/>
      <c r="E828" s="147"/>
      <c r="F828" s="147"/>
      <c r="G828" s="147"/>
      <c r="H828" s="146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6"/>
    </row>
    <row r="829">
      <c r="A829" s="146"/>
      <c r="B829" s="147"/>
      <c r="C829" s="147"/>
      <c r="D829" s="148"/>
      <c r="E829" s="147"/>
      <c r="F829" s="147"/>
      <c r="G829" s="147"/>
      <c r="H829" s="146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6"/>
    </row>
    <row r="830">
      <c r="A830" s="146"/>
      <c r="B830" s="147"/>
      <c r="C830" s="147"/>
      <c r="D830" s="148"/>
      <c r="E830" s="147"/>
      <c r="F830" s="147"/>
      <c r="G830" s="147"/>
      <c r="H830" s="146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6"/>
    </row>
    <row r="831">
      <c r="A831" s="146"/>
      <c r="B831" s="147"/>
      <c r="C831" s="147"/>
      <c r="D831" s="148"/>
      <c r="E831" s="147"/>
      <c r="F831" s="147"/>
      <c r="G831" s="147"/>
      <c r="H831" s="146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6"/>
    </row>
    <row r="832">
      <c r="A832" s="146"/>
      <c r="B832" s="147"/>
      <c r="C832" s="147"/>
      <c r="D832" s="148"/>
      <c r="E832" s="147"/>
      <c r="F832" s="147"/>
      <c r="G832" s="147"/>
      <c r="H832" s="146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6"/>
    </row>
    <row r="833">
      <c r="A833" s="146"/>
      <c r="B833" s="147"/>
      <c r="C833" s="147"/>
      <c r="D833" s="148"/>
      <c r="E833" s="147"/>
      <c r="F833" s="147"/>
      <c r="G833" s="147"/>
      <c r="H833" s="146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6"/>
    </row>
    <row r="834">
      <c r="A834" s="146"/>
      <c r="B834" s="147"/>
      <c r="C834" s="147"/>
      <c r="D834" s="148"/>
      <c r="E834" s="147"/>
      <c r="F834" s="147"/>
      <c r="G834" s="147"/>
      <c r="H834" s="146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6"/>
    </row>
    <row r="835">
      <c r="A835" s="146"/>
      <c r="B835" s="147"/>
      <c r="C835" s="147"/>
      <c r="D835" s="148"/>
      <c r="E835" s="147"/>
      <c r="F835" s="147"/>
      <c r="G835" s="147"/>
      <c r="H835" s="146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6"/>
    </row>
    <row r="836">
      <c r="A836" s="146"/>
      <c r="B836" s="147"/>
      <c r="C836" s="147"/>
      <c r="D836" s="148"/>
      <c r="E836" s="147"/>
      <c r="F836" s="147"/>
      <c r="G836" s="147"/>
      <c r="H836" s="146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6"/>
    </row>
    <row r="837">
      <c r="A837" s="146"/>
      <c r="B837" s="147"/>
      <c r="C837" s="147"/>
      <c r="D837" s="148"/>
      <c r="E837" s="147"/>
      <c r="F837" s="147"/>
      <c r="G837" s="147"/>
      <c r="H837" s="146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6"/>
    </row>
    <row r="838">
      <c r="A838" s="146"/>
      <c r="B838" s="147"/>
      <c r="C838" s="147"/>
      <c r="D838" s="148"/>
      <c r="E838" s="147"/>
      <c r="F838" s="147"/>
      <c r="G838" s="147"/>
      <c r="H838" s="146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6"/>
    </row>
    <row r="839">
      <c r="A839" s="146"/>
      <c r="B839" s="147"/>
      <c r="C839" s="147"/>
      <c r="D839" s="148"/>
      <c r="E839" s="147"/>
      <c r="F839" s="147"/>
      <c r="G839" s="147"/>
      <c r="H839" s="146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6"/>
    </row>
    <row r="840">
      <c r="A840" s="146"/>
      <c r="B840" s="147"/>
      <c r="C840" s="147"/>
      <c r="D840" s="148"/>
      <c r="E840" s="147"/>
      <c r="F840" s="147"/>
      <c r="G840" s="147"/>
      <c r="H840" s="146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6"/>
    </row>
    <row r="841">
      <c r="A841" s="146"/>
      <c r="B841" s="147"/>
      <c r="C841" s="147"/>
      <c r="D841" s="148"/>
      <c r="E841" s="147"/>
      <c r="F841" s="147"/>
      <c r="G841" s="147"/>
      <c r="H841" s="146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6"/>
    </row>
    <row r="842">
      <c r="A842" s="146"/>
      <c r="B842" s="147"/>
      <c r="C842" s="147"/>
      <c r="D842" s="148"/>
      <c r="E842" s="147"/>
      <c r="F842" s="147"/>
      <c r="G842" s="147"/>
      <c r="H842" s="146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6"/>
    </row>
    <row r="843">
      <c r="A843" s="146"/>
      <c r="B843" s="147"/>
      <c r="C843" s="147"/>
      <c r="D843" s="148"/>
      <c r="E843" s="147"/>
      <c r="F843" s="147"/>
      <c r="G843" s="147"/>
      <c r="H843" s="146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6"/>
    </row>
    <row r="844">
      <c r="A844" s="146"/>
      <c r="B844" s="147"/>
      <c r="C844" s="147"/>
      <c r="D844" s="148"/>
      <c r="E844" s="147"/>
      <c r="F844" s="147"/>
      <c r="G844" s="147"/>
      <c r="H844" s="146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6"/>
    </row>
    <row r="845">
      <c r="A845" s="146"/>
      <c r="B845" s="147"/>
      <c r="C845" s="147"/>
      <c r="D845" s="148"/>
      <c r="E845" s="147"/>
      <c r="F845" s="147"/>
      <c r="G845" s="147"/>
      <c r="H845" s="146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6"/>
    </row>
    <row r="846">
      <c r="A846" s="146"/>
      <c r="B846" s="147"/>
      <c r="C846" s="147"/>
      <c r="D846" s="148"/>
      <c r="E846" s="147"/>
      <c r="F846" s="147"/>
      <c r="G846" s="147"/>
      <c r="H846" s="146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6"/>
    </row>
    <row r="847">
      <c r="A847" s="146"/>
      <c r="B847" s="147"/>
      <c r="C847" s="147"/>
      <c r="D847" s="148"/>
      <c r="E847" s="147"/>
      <c r="F847" s="147"/>
      <c r="G847" s="147"/>
      <c r="H847" s="146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6"/>
    </row>
    <row r="848">
      <c r="A848" s="146"/>
      <c r="B848" s="147"/>
      <c r="C848" s="147"/>
      <c r="D848" s="148"/>
      <c r="E848" s="147"/>
      <c r="F848" s="147"/>
      <c r="G848" s="147"/>
      <c r="H848" s="146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6"/>
    </row>
    <row r="849">
      <c r="A849" s="146"/>
      <c r="B849" s="147"/>
      <c r="C849" s="147"/>
      <c r="D849" s="148"/>
      <c r="E849" s="147"/>
      <c r="F849" s="147"/>
      <c r="G849" s="147"/>
      <c r="H849" s="146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6"/>
    </row>
    <row r="850">
      <c r="A850" s="146"/>
      <c r="B850" s="147"/>
      <c r="C850" s="147"/>
      <c r="D850" s="148"/>
      <c r="E850" s="147"/>
      <c r="F850" s="147"/>
      <c r="G850" s="147"/>
      <c r="H850" s="146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6"/>
    </row>
    <row r="851">
      <c r="A851" s="146"/>
      <c r="B851" s="147"/>
      <c r="C851" s="147"/>
      <c r="D851" s="148"/>
      <c r="E851" s="147"/>
      <c r="F851" s="147"/>
      <c r="G851" s="147"/>
      <c r="H851" s="146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6"/>
    </row>
    <row r="852">
      <c r="A852" s="146"/>
      <c r="B852" s="147"/>
      <c r="C852" s="147"/>
      <c r="D852" s="148"/>
      <c r="E852" s="147"/>
      <c r="F852" s="147"/>
      <c r="G852" s="147"/>
      <c r="H852" s="146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6"/>
    </row>
    <row r="853">
      <c r="A853" s="146"/>
      <c r="B853" s="147"/>
      <c r="C853" s="147"/>
      <c r="D853" s="148"/>
      <c r="E853" s="147"/>
      <c r="F853" s="147"/>
      <c r="G853" s="147"/>
      <c r="H853" s="146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6"/>
    </row>
    <row r="854">
      <c r="A854" s="146"/>
      <c r="B854" s="147"/>
      <c r="C854" s="147"/>
      <c r="D854" s="148"/>
      <c r="E854" s="147"/>
      <c r="F854" s="147"/>
      <c r="G854" s="147"/>
      <c r="H854" s="146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6"/>
    </row>
    <row r="855">
      <c r="A855" s="146"/>
      <c r="B855" s="147"/>
      <c r="C855" s="147"/>
      <c r="D855" s="148"/>
      <c r="E855" s="147"/>
      <c r="F855" s="147"/>
      <c r="G855" s="147"/>
      <c r="H855" s="146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6"/>
    </row>
    <row r="856">
      <c r="A856" s="146"/>
      <c r="B856" s="147"/>
      <c r="C856" s="147"/>
      <c r="D856" s="148"/>
      <c r="E856" s="147"/>
      <c r="F856" s="147"/>
      <c r="G856" s="147"/>
      <c r="H856" s="146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6"/>
    </row>
    <row r="857">
      <c r="A857" s="146"/>
      <c r="B857" s="147"/>
      <c r="C857" s="147"/>
      <c r="D857" s="148"/>
      <c r="E857" s="147"/>
      <c r="F857" s="147"/>
      <c r="G857" s="147"/>
      <c r="H857" s="146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6"/>
    </row>
    <row r="858">
      <c r="A858" s="146"/>
      <c r="B858" s="147"/>
      <c r="C858" s="147"/>
      <c r="D858" s="148"/>
      <c r="E858" s="147"/>
      <c r="F858" s="147"/>
      <c r="G858" s="147"/>
      <c r="H858" s="146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6"/>
    </row>
    <row r="859">
      <c r="A859" s="146"/>
      <c r="B859" s="147"/>
      <c r="C859" s="147"/>
      <c r="D859" s="148"/>
      <c r="E859" s="147"/>
      <c r="F859" s="147"/>
      <c r="G859" s="147"/>
      <c r="H859" s="146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6"/>
    </row>
    <row r="860">
      <c r="A860" s="146"/>
      <c r="B860" s="147"/>
      <c r="C860" s="147"/>
      <c r="D860" s="148"/>
      <c r="E860" s="147"/>
      <c r="F860" s="147"/>
      <c r="G860" s="147"/>
      <c r="H860" s="146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6"/>
    </row>
    <row r="861">
      <c r="A861" s="146"/>
      <c r="B861" s="147"/>
      <c r="C861" s="147"/>
      <c r="D861" s="148"/>
      <c r="E861" s="147"/>
      <c r="F861" s="147"/>
      <c r="G861" s="147"/>
      <c r="H861" s="146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6"/>
    </row>
    <row r="862">
      <c r="A862" s="146"/>
      <c r="B862" s="147"/>
      <c r="C862" s="147"/>
      <c r="D862" s="148"/>
      <c r="E862" s="147"/>
      <c r="F862" s="147"/>
      <c r="G862" s="147"/>
      <c r="H862" s="146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6"/>
    </row>
    <row r="863">
      <c r="A863" s="146"/>
      <c r="B863" s="147"/>
      <c r="C863" s="147"/>
      <c r="D863" s="148"/>
      <c r="E863" s="147"/>
      <c r="F863" s="147"/>
      <c r="G863" s="147"/>
      <c r="H863" s="146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6"/>
    </row>
    <row r="864">
      <c r="A864" s="146"/>
      <c r="B864" s="147"/>
      <c r="C864" s="147"/>
      <c r="D864" s="148"/>
      <c r="E864" s="147"/>
      <c r="F864" s="147"/>
      <c r="G864" s="147"/>
      <c r="H864" s="146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6"/>
    </row>
    <row r="865">
      <c r="A865" s="146"/>
      <c r="B865" s="147"/>
      <c r="C865" s="147"/>
      <c r="D865" s="148"/>
      <c r="E865" s="147"/>
      <c r="F865" s="147"/>
      <c r="G865" s="147"/>
      <c r="H865" s="146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6"/>
    </row>
    <row r="866">
      <c r="A866" s="146"/>
      <c r="B866" s="147"/>
      <c r="C866" s="147"/>
      <c r="D866" s="148"/>
      <c r="E866" s="147"/>
      <c r="F866" s="147"/>
      <c r="G866" s="147"/>
      <c r="H866" s="146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6"/>
    </row>
    <row r="867">
      <c r="A867" s="146"/>
      <c r="B867" s="147"/>
      <c r="C867" s="147"/>
      <c r="D867" s="148"/>
      <c r="E867" s="147"/>
      <c r="F867" s="147"/>
      <c r="G867" s="147"/>
      <c r="H867" s="146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6"/>
    </row>
    <row r="868">
      <c r="A868" s="146"/>
      <c r="B868" s="147"/>
      <c r="C868" s="147"/>
      <c r="D868" s="148"/>
      <c r="E868" s="147"/>
      <c r="F868" s="147"/>
      <c r="G868" s="147"/>
      <c r="H868" s="146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6"/>
    </row>
    <row r="869">
      <c r="A869" s="146"/>
      <c r="B869" s="147"/>
      <c r="C869" s="147"/>
      <c r="D869" s="148"/>
      <c r="E869" s="147"/>
      <c r="F869" s="147"/>
      <c r="G869" s="147"/>
      <c r="H869" s="146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6"/>
    </row>
    <row r="870">
      <c r="A870" s="146"/>
      <c r="B870" s="147"/>
      <c r="C870" s="147"/>
      <c r="D870" s="148"/>
      <c r="E870" s="147"/>
      <c r="F870" s="147"/>
      <c r="G870" s="147"/>
      <c r="H870" s="146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6"/>
    </row>
    <row r="871">
      <c r="A871" s="146"/>
      <c r="B871" s="147"/>
      <c r="C871" s="147"/>
      <c r="D871" s="148"/>
      <c r="E871" s="147"/>
      <c r="F871" s="147"/>
      <c r="G871" s="147"/>
      <c r="H871" s="146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6"/>
    </row>
    <row r="872">
      <c r="A872" s="146"/>
      <c r="B872" s="147"/>
      <c r="C872" s="147"/>
      <c r="D872" s="148"/>
      <c r="E872" s="147"/>
      <c r="F872" s="147"/>
      <c r="G872" s="147"/>
      <c r="H872" s="146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6"/>
    </row>
    <row r="873">
      <c r="A873" s="146"/>
      <c r="B873" s="147"/>
      <c r="C873" s="147"/>
      <c r="D873" s="148"/>
      <c r="E873" s="147"/>
      <c r="F873" s="147"/>
      <c r="G873" s="147"/>
      <c r="H873" s="146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6"/>
    </row>
    <row r="874">
      <c r="A874" s="146"/>
      <c r="B874" s="147"/>
      <c r="C874" s="147"/>
      <c r="D874" s="148"/>
      <c r="E874" s="147"/>
      <c r="F874" s="147"/>
      <c r="G874" s="147"/>
      <c r="H874" s="146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6"/>
    </row>
    <row r="875">
      <c r="A875" s="146"/>
      <c r="B875" s="147"/>
      <c r="C875" s="147"/>
      <c r="D875" s="148"/>
      <c r="E875" s="147"/>
      <c r="F875" s="147"/>
      <c r="G875" s="147"/>
      <c r="H875" s="146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6"/>
    </row>
    <row r="876">
      <c r="A876" s="146"/>
      <c r="B876" s="147"/>
      <c r="C876" s="147"/>
      <c r="D876" s="148"/>
      <c r="E876" s="147"/>
      <c r="F876" s="147"/>
      <c r="G876" s="147"/>
      <c r="H876" s="146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6"/>
    </row>
    <row r="877">
      <c r="A877" s="146"/>
      <c r="B877" s="147"/>
      <c r="C877" s="147"/>
      <c r="D877" s="148"/>
      <c r="E877" s="147"/>
      <c r="F877" s="147"/>
      <c r="G877" s="147"/>
      <c r="H877" s="146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6"/>
    </row>
    <row r="878">
      <c r="A878" s="146"/>
      <c r="B878" s="147"/>
      <c r="C878" s="147"/>
      <c r="D878" s="148"/>
      <c r="E878" s="147"/>
      <c r="F878" s="147"/>
      <c r="G878" s="147"/>
      <c r="H878" s="146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6"/>
    </row>
    <row r="879">
      <c r="A879" s="146"/>
      <c r="B879" s="147"/>
      <c r="C879" s="147"/>
      <c r="D879" s="148"/>
      <c r="E879" s="147"/>
      <c r="F879" s="147"/>
      <c r="G879" s="147"/>
      <c r="H879" s="146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6"/>
    </row>
    <row r="880">
      <c r="A880" s="146"/>
      <c r="B880" s="147"/>
      <c r="C880" s="147"/>
      <c r="D880" s="148"/>
      <c r="E880" s="147"/>
      <c r="F880" s="147"/>
      <c r="G880" s="147"/>
      <c r="H880" s="146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6"/>
    </row>
    <row r="881">
      <c r="A881" s="146"/>
      <c r="B881" s="147"/>
      <c r="C881" s="147"/>
      <c r="D881" s="148"/>
      <c r="E881" s="147"/>
      <c r="F881" s="147"/>
      <c r="G881" s="147"/>
      <c r="H881" s="146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6"/>
    </row>
    <row r="882">
      <c r="A882" s="146"/>
      <c r="B882" s="147"/>
      <c r="C882" s="147"/>
      <c r="D882" s="148"/>
      <c r="E882" s="147"/>
      <c r="F882" s="147"/>
      <c r="G882" s="147"/>
      <c r="H882" s="146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6"/>
    </row>
    <row r="883">
      <c r="A883" s="146"/>
      <c r="B883" s="147"/>
      <c r="C883" s="147"/>
      <c r="D883" s="148"/>
      <c r="E883" s="147"/>
      <c r="F883" s="147"/>
      <c r="G883" s="147"/>
      <c r="H883" s="146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6"/>
    </row>
    <row r="884">
      <c r="A884" s="146"/>
      <c r="B884" s="147"/>
      <c r="C884" s="147"/>
      <c r="D884" s="148"/>
      <c r="E884" s="147"/>
      <c r="F884" s="147"/>
      <c r="G884" s="147"/>
      <c r="H884" s="146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6"/>
    </row>
    <row r="885">
      <c r="A885" s="146"/>
      <c r="B885" s="147"/>
      <c r="C885" s="147"/>
      <c r="D885" s="148"/>
      <c r="E885" s="147"/>
      <c r="F885" s="147"/>
      <c r="G885" s="147"/>
      <c r="H885" s="146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6"/>
    </row>
    <row r="886">
      <c r="A886" s="146"/>
      <c r="B886" s="147"/>
      <c r="C886" s="147"/>
      <c r="D886" s="148"/>
      <c r="E886" s="147"/>
      <c r="F886" s="147"/>
      <c r="G886" s="147"/>
      <c r="H886" s="146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6"/>
    </row>
    <row r="887">
      <c r="A887" s="146"/>
      <c r="B887" s="147"/>
      <c r="C887" s="147"/>
      <c r="D887" s="148"/>
      <c r="E887" s="147"/>
      <c r="F887" s="147"/>
      <c r="G887" s="147"/>
      <c r="H887" s="146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6"/>
    </row>
    <row r="888">
      <c r="A888" s="146"/>
      <c r="B888" s="147"/>
      <c r="C888" s="147"/>
      <c r="D888" s="148"/>
      <c r="E888" s="147"/>
      <c r="F888" s="147"/>
      <c r="G888" s="147"/>
      <c r="H888" s="146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6"/>
    </row>
    <row r="889">
      <c r="A889" s="146"/>
      <c r="B889" s="147"/>
      <c r="C889" s="147"/>
      <c r="D889" s="148"/>
      <c r="E889" s="147"/>
      <c r="F889" s="147"/>
      <c r="G889" s="147"/>
      <c r="H889" s="146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6"/>
    </row>
    <row r="890">
      <c r="A890" s="146"/>
      <c r="B890" s="147"/>
      <c r="C890" s="147"/>
      <c r="D890" s="148"/>
      <c r="E890" s="147"/>
      <c r="F890" s="147"/>
      <c r="G890" s="147"/>
      <c r="H890" s="146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6"/>
    </row>
    <row r="891">
      <c r="A891" s="146"/>
      <c r="B891" s="147"/>
      <c r="C891" s="147"/>
      <c r="D891" s="148"/>
      <c r="E891" s="147"/>
      <c r="F891" s="147"/>
      <c r="G891" s="147"/>
      <c r="H891" s="146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6"/>
    </row>
    <row r="892">
      <c r="A892" s="146"/>
      <c r="B892" s="147"/>
      <c r="C892" s="147"/>
      <c r="D892" s="148"/>
      <c r="E892" s="147"/>
      <c r="F892" s="147"/>
      <c r="G892" s="147"/>
      <c r="H892" s="146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6"/>
    </row>
    <row r="893">
      <c r="A893" s="146"/>
      <c r="B893" s="147"/>
      <c r="C893" s="147"/>
      <c r="D893" s="148"/>
      <c r="E893" s="147"/>
      <c r="F893" s="147"/>
      <c r="G893" s="147"/>
      <c r="H893" s="146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6"/>
    </row>
    <row r="894">
      <c r="A894" s="146"/>
      <c r="B894" s="147"/>
      <c r="C894" s="147"/>
      <c r="D894" s="148"/>
      <c r="E894" s="147"/>
      <c r="F894" s="147"/>
      <c r="G894" s="147"/>
      <c r="H894" s="146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6"/>
    </row>
    <row r="895">
      <c r="A895" s="146"/>
      <c r="B895" s="147"/>
      <c r="C895" s="147"/>
      <c r="D895" s="148"/>
      <c r="E895" s="147"/>
      <c r="F895" s="147"/>
      <c r="G895" s="147"/>
      <c r="H895" s="146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6"/>
    </row>
    <row r="896">
      <c r="A896" s="146"/>
      <c r="B896" s="147"/>
      <c r="C896" s="147"/>
      <c r="D896" s="148"/>
      <c r="E896" s="147"/>
      <c r="F896" s="147"/>
      <c r="G896" s="147"/>
      <c r="H896" s="146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6"/>
    </row>
    <row r="897">
      <c r="A897" s="146"/>
      <c r="B897" s="147"/>
      <c r="C897" s="147"/>
      <c r="D897" s="148"/>
      <c r="E897" s="147"/>
      <c r="F897" s="147"/>
      <c r="G897" s="147"/>
      <c r="H897" s="146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6"/>
    </row>
    <row r="898">
      <c r="A898" s="146"/>
      <c r="B898" s="147"/>
      <c r="C898" s="147"/>
      <c r="D898" s="148"/>
      <c r="E898" s="147"/>
      <c r="F898" s="147"/>
      <c r="G898" s="147"/>
      <c r="H898" s="146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6"/>
    </row>
    <row r="899">
      <c r="A899" s="146"/>
      <c r="B899" s="147"/>
      <c r="C899" s="147"/>
      <c r="D899" s="148"/>
      <c r="E899" s="147"/>
      <c r="F899" s="147"/>
      <c r="G899" s="147"/>
      <c r="H899" s="146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6"/>
    </row>
    <row r="900">
      <c r="A900" s="146"/>
      <c r="B900" s="147"/>
      <c r="C900" s="147"/>
      <c r="D900" s="148"/>
      <c r="E900" s="147"/>
      <c r="F900" s="147"/>
      <c r="G900" s="147"/>
      <c r="H900" s="146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6"/>
    </row>
    <row r="901">
      <c r="A901" s="146"/>
      <c r="B901" s="147"/>
      <c r="C901" s="147"/>
      <c r="D901" s="148"/>
      <c r="E901" s="147"/>
      <c r="F901" s="147"/>
      <c r="G901" s="147"/>
      <c r="H901" s="146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6"/>
    </row>
    <row r="902">
      <c r="A902" s="146"/>
      <c r="B902" s="147"/>
      <c r="C902" s="147"/>
      <c r="D902" s="148"/>
      <c r="E902" s="147"/>
      <c r="F902" s="147"/>
      <c r="G902" s="147"/>
      <c r="H902" s="146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6"/>
    </row>
    <row r="903">
      <c r="A903" s="146"/>
      <c r="B903" s="147"/>
      <c r="C903" s="147"/>
      <c r="D903" s="148"/>
      <c r="E903" s="147"/>
      <c r="F903" s="147"/>
      <c r="G903" s="147"/>
      <c r="H903" s="146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6"/>
    </row>
    <row r="904">
      <c r="A904" s="146"/>
      <c r="B904" s="147"/>
      <c r="C904" s="147"/>
      <c r="D904" s="148"/>
      <c r="E904" s="147"/>
      <c r="F904" s="147"/>
      <c r="G904" s="147"/>
      <c r="H904" s="146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6"/>
    </row>
    <row r="905">
      <c r="A905" s="146"/>
      <c r="B905" s="147"/>
      <c r="C905" s="147"/>
      <c r="D905" s="148"/>
      <c r="E905" s="147"/>
      <c r="F905" s="147"/>
      <c r="G905" s="147"/>
      <c r="H905" s="146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6"/>
    </row>
    <row r="906">
      <c r="A906" s="146"/>
      <c r="B906" s="147"/>
      <c r="C906" s="147"/>
      <c r="D906" s="148"/>
      <c r="E906" s="147"/>
      <c r="F906" s="147"/>
      <c r="G906" s="147"/>
      <c r="H906" s="146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6"/>
    </row>
    <row r="907">
      <c r="A907" s="146"/>
      <c r="B907" s="147"/>
      <c r="C907" s="147"/>
      <c r="D907" s="148"/>
      <c r="E907" s="147"/>
      <c r="F907" s="147"/>
      <c r="G907" s="147"/>
      <c r="H907" s="146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6"/>
    </row>
    <row r="908">
      <c r="A908" s="146"/>
      <c r="B908" s="147"/>
      <c r="C908" s="147"/>
      <c r="D908" s="148"/>
      <c r="E908" s="147"/>
      <c r="F908" s="147"/>
      <c r="G908" s="147"/>
      <c r="H908" s="146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6"/>
    </row>
    <row r="909">
      <c r="A909" s="146"/>
      <c r="B909" s="147"/>
      <c r="C909" s="147"/>
      <c r="D909" s="148"/>
      <c r="E909" s="147"/>
      <c r="F909" s="147"/>
      <c r="G909" s="147"/>
      <c r="H909" s="146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6"/>
    </row>
    <row r="910">
      <c r="A910" s="146"/>
      <c r="B910" s="147"/>
      <c r="C910" s="147"/>
      <c r="D910" s="148"/>
      <c r="E910" s="147"/>
      <c r="F910" s="147"/>
      <c r="G910" s="147"/>
      <c r="H910" s="146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6"/>
    </row>
    <row r="911">
      <c r="A911" s="146"/>
      <c r="B911" s="147"/>
      <c r="C911" s="147"/>
      <c r="D911" s="148"/>
      <c r="E911" s="147"/>
      <c r="F911" s="147"/>
      <c r="G911" s="147"/>
      <c r="H911" s="146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6"/>
    </row>
    <row r="912">
      <c r="A912" s="146"/>
      <c r="B912" s="147"/>
      <c r="C912" s="147"/>
      <c r="D912" s="148"/>
      <c r="E912" s="147"/>
      <c r="F912" s="147"/>
      <c r="G912" s="147"/>
      <c r="H912" s="146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6"/>
    </row>
    <row r="913">
      <c r="A913" s="146"/>
      <c r="B913" s="147"/>
      <c r="C913" s="147"/>
      <c r="D913" s="148"/>
      <c r="E913" s="147"/>
      <c r="F913" s="147"/>
      <c r="G913" s="147"/>
      <c r="H913" s="146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6"/>
    </row>
    <row r="914">
      <c r="A914" s="146"/>
      <c r="B914" s="147"/>
      <c r="C914" s="147"/>
      <c r="D914" s="148"/>
      <c r="E914" s="147"/>
      <c r="F914" s="147"/>
      <c r="G914" s="147"/>
      <c r="H914" s="146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6"/>
    </row>
    <row r="915">
      <c r="A915" s="146"/>
      <c r="B915" s="147"/>
      <c r="C915" s="147"/>
      <c r="D915" s="148"/>
      <c r="E915" s="147"/>
      <c r="F915" s="147"/>
      <c r="G915" s="147"/>
      <c r="H915" s="146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6"/>
    </row>
    <row r="916">
      <c r="A916" s="146"/>
      <c r="B916" s="147"/>
      <c r="C916" s="147"/>
      <c r="D916" s="148"/>
      <c r="E916" s="147"/>
      <c r="F916" s="147"/>
      <c r="G916" s="147"/>
      <c r="H916" s="146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6"/>
    </row>
    <row r="917">
      <c r="A917" s="146"/>
      <c r="B917" s="147"/>
      <c r="C917" s="147"/>
      <c r="D917" s="148"/>
      <c r="E917" s="147"/>
      <c r="F917" s="147"/>
      <c r="G917" s="147"/>
      <c r="H917" s="146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6"/>
    </row>
    <row r="918">
      <c r="A918" s="146"/>
      <c r="B918" s="147"/>
      <c r="C918" s="147"/>
      <c r="D918" s="148"/>
      <c r="E918" s="147"/>
      <c r="F918" s="147"/>
      <c r="G918" s="147"/>
      <c r="H918" s="146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6"/>
    </row>
    <row r="919">
      <c r="A919" s="146"/>
      <c r="B919" s="147"/>
      <c r="C919" s="147"/>
      <c r="D919" s="148"/>
      <c r="E919" s="147"/>
      <c r="F919" s="147"/>
      <c r="G919" s="147"/>
      <c r="H919" s="146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6"/>
    </row>
    <row r="920">
      <c r="A920" s="146"/>
      <c r="B920" s="147"/>
      <c r="C920" s="147"/>
      <c r="D920" s="148"/>
      <c r="E920" s="147"/>
      <c r="F920" s="147"/>
      <c r="G920" s="147"/>
      <c r="H920" s="146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6"/>
    </row>
    <row r="921">
      <c r="A921" s="146"/>
      <c r="B921" s="147"/>
      <c r="C921" s="147"/>
      <c r="D921" s="148"/>
      <c r="E921" s="147"/>
      <c r="F921" s="147"/>
      <c r="G921" s="147"/>
      <c r="H921" s="146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6"/>
    </row>
    <row r="922">
      <c r="A922" s="146"/>
      <c r="B922" s="147"/>
      <c r="C922" s="147"/>
      <c r="D922" s="148"/>
      <c r="E922" s="147"/>
      <c r="F922" s="147"/>
      <c r="G922" s="147"/>
      <c r="H922" s="146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6"/>
    </row>
    <row r="923">
      <c r="A923" s="146"/>
      <c r="B923" s="147"/>
      <c r="C923" s="147"/>
      <c r="D923" s="148"/>
      <c r="E923" s="147"/>
      <c r="F923" s="147"/>
      <c r="G923" s="147"/>
      <c r="H923" s="146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6"/>
    </row>
    <row r="924">
      <c r="A924" s="146"/>
      <c r="B924" s="147"/>
      <c r="C924" s="147"/>
      <c r="D924" s="148"/>
      <c r="E924" s="147"/>
      <c r="F924" s="147"/>
      <c r="G924" s="147"/>
      <c r="H924" s="146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6"/>
    </row>
    <row r="925">
      <c r="A925" s="146"/>
      <c r="B925" s="147"/>
      <c r="C925" s="147"/>
      <c r="D925" s="148"/>
      <c r="E925" s="147"/>
      <c r="F925" s="147"/>
      <c r="G925" s="147"/>
      <c r="H925" s="146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6"/>
    </row>
    <row r="926">
      <c r="A926" s="146"/>
      <c r="B926" s="147"/>
      <c r="C926" s="147"/>
      <c r="D926" s="148"/>
      <c r="E926" s="147"/>
      <c r="F926" s="147"/>
      <c r="G926" s="147"/>
      <c r="H926" s="146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6"/>
    </row>
    <row r="927">
      <c r="A927" s="146"/>
      <c r="B927" s="147"/>
      <c r="C927" s="147"/>
      <c r="D927" s="148"/>
      <c r="E927" s="147"/>
      <c r="F927" s="147"/>
      <c r="G927" s="147"/>
      <c r="H927" s="146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6"/>
    </row>
    <row r="928">
      <c r="A928" s="146"/>
      <c r="B928" s="147"/>
      <c r="C928" s="147"/>
      <c r="D928" s="148"/>
      <c r="E928" s="147"/>
      <c r="F928" s="147"/>
      <c r="G928" s="147"/>
      <c r="H928" s="146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6"/>
    </row>
    <row r="929">
      <c r="A929" s="146"/>
      <c r="B929" s="147"/>
      <c r="C929" s="147"/>
      <c r="D929" s="148"/>
      <c r="E929" s="147"/>
      <c r="F929" s="147"/>
      <c r="G929" s="147"/>
      <c r="H929" s="146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6"/>
    </row>
    <row r="930">
      <c r="A930" s="146"/>
      <c r="B930" s="147"/>
      <c r="C930" s="147"/>
      <c r="D930" s="148"/>
      <c r="E930" s="147"/>
      <c r="F930" s="147"/>
      <c r="G930" s="147"/>
      <c r="H930" s="146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6"/>
    </row>
    <row r="931">
      <c r="A931" s="146"/>
      <c r="B931" s="147"/>
      <c r="C931" s="147"/>
      <c r="D931" s="148"/>
      <c r="E931" s="147"/>
      <c r="F931" s="147"/>
      <c r="G931" s="147"/>
      <c r="H931" s="146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6"/>
    </row>
    <row r="932">
      <c r="A932" s="146"/>
      <c r="B932" s="147"/>
      <c r="C932" s="147"/>
      <c r="D932" s="148"/>
      <c r="E932" s="147"/>
      <c r="F932" s="147"/>
      <c r="G932" s="147"/>
      <c r="H932" s="146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6"/>
    </row>
    <row r="933">
      <c r="A933" s="146"/>
      <c r="B933" s="147"/>
      <c r="C933" s="147"/>
      <c r="D933" s="148"/>
      <c r="E933" s="147"/>
      <c r="F933" s="147"/>
      <c r="G933" s="147"/>
      <c r="H933" s="146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6"/>
    </row>
    <row r="934">
      <c r="A934" s="146"/>
      <c r="B934" s="147"/>
      <c r="C934" s="147"/>
      <c r="D934" s="148"/>
      <c r="E934" s="147"/>
      <c r="F934" s="147"/>
      <c r="G934" s="147"/>
      <c r="H934" s="146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6"/>
    </row>
    <row r="935">
      <c r="A935" s="146"/>
      <c r="B935" s="147"/>
      <c r="C935" s="147"/>
      <c r="D935" s="148"/>
      <c r="E935" s="147"/>
      <c r="F935" s="147"/>
      <c r="G935" s="147"/>
      <c r="H935" s="146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6"/>
    </row>
    <row r="936">
      <c r="A936" s="146"/>
      <c r="B936" s="147"/>
      <c r="C936" s="147"/>
      <c r="D936" s="148"/>
      <c r="E936" s="147"/>
      <c r="F936" s="147"/>
      <c r="G936" s="147"/>
      <c r="H936" s="146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6"/>
    </row>
    <row r="937">
      <c r="A937" s="146"/>
      <c r="B937" s="147"/>
      <c r="C937" s="147"/>
      <c r="D937" s="148"/>
      <c r="E937" s="147"/>
      <c r="F937" s="147"/>
      <c r="G937" s="147"/>
      <c r="H937" s="146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6"/>
    </row>
    <row r="938">
      <c r="A938" s="146"/>
      <c r="B938" s="147"/>
      <c r="C938" s="147"/>
      <c r="D938" s="148"/>
      <c r="E938" s="147"/>
      <c r="F938" s="147"/>
      <c r="G938" s="147"/>
      <c r="H938" s="146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6"/>
    </row>
    <row r="939">
      <c r="A939" s="146"/>
      <c r="B939" s="147"/>
      <c r="C939" s="147"/>
      <c r="D939" s="148"/>
      <c r="E939" s="147"/>
      <c r="F939" s="147"/>
      <c r="G939" s="147"/>
      <c r="H939" s="146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6"/>
    </row>
    <row r="940">
      <c r="A940" s="146"/>
      <c r="B940" s="147"/>
      <c r="C940" s="147"/>
      <c r="D940" s="148"/>
      <c r="E940" s="147"/>
      <c r="F940" s="147"/>
      <c r="G940" s="147"/>
      <c r="H940" s="146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6"/>
    </row>
    <row r="941">
      <c r="A941" s="146"/>
      <c r="B941" s="147"/>
      <c r="C941" s="147"/>
      <c r="D941" s="148"/>
      <c r="E941" s="147"/>
      <c r="F941" s="147"/>
      <c r="G941" s="147"/>
      <c r="H941" s="146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6"/>
    </row>
    <row r="942">
      <c r="A942" s="146"/>
      <c r="B942" s="147"/>
      <c r="C942" s="147"/>
      <c r="D942" s="148"/>
      <c r="E942" s="147"/>
      <c r="F942" s="147"/>
      <c r="G942" s="147"/>
      <c r="H942" s="146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6"/>
    </row>
    <row r="943">
      <c r="A943" s="146"/>
      <c r="B943" s="147"/>
      <c r="C943" s="147"/>
      <c r="D943" s="148"/>
      <c r="E943" s="147"/>
      <c r="F943" s="147"/>
      <c r="G943" s="147"/>
      <c r="H943" s="146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6"/>
    </row>
    <row r="944">
      <c r="A944" s="146"/>
      <c r="B944" s="147"/>
      <c r="C944" s="147"/>
      <c r="D944" s="148"/>
      <c r="E944" s="147"/>
      <c r="F944" s="147"/>
      <c r="G944" s="147"/>
      <c r="H944" s="146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6"/>
    </row>
    <row r="945">
      <c r="A945" s="146"/>
      <c r="B945" s="147"/>
      <c r="C945" s="147"/>
      <c r="D945" s="148"/>
      <c r="E945" s="147"/>
      <c r="F945" s="147"/>
      <c r="G945" s="147"/>
      <c r="H945" s="146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6"/>
    </row>
    <row r="946">
      <c r="A946" s="146"/>
      <c r="B946" s="147"/>
      <c r="C946" s="147"/>
      <c r="D946" s="148"/>
      <c r="E946" s="147"/>
      <c r="F946" s="147"/>
      <c r="G946" s="147"/>
      <c r="H946" s="146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6"/>
    </row>
    <row r="947">
      <c r="A947" s="146"/>
      <c r="B947" s="147"/>
      <c r="C947" s="147"/>
      <c r="D947" s="148"/>
      <c r="E947" s="147"/>
      <c r="F947" s="147"/>
      <c r="G947" s="147"/>
      <c r="H947" s="146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6"/>
    </row>
    <row r="948">
      <c r="A948" s="146"/>
      <c r="B948" s="147"/>
      <c r="C948" s="147"/>
      <c r="D948" s="148"/>
      <c r="E948" s="147"/>
      <c r="F948" s="147"/>
      <c r="G948" s="147"/>
      <c r="H948" s="146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6"/>
    </row>
    <row r="949">
      <c r="A949" s="146"/>
      <c r="B949" s="147"/>
      <c r="C949" s="147"/>
      <c r="D949" s="148"/>
      <c r="E949" s="147"/>
      <c r="F949" s="147"/>
      <c r="G949" s="147"/>
      <c r="H949" s="146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6"/>
    </row>
    <row r="950">
      <c r="A950" s="146"/>
      <c r="B950" s="147"/>
      <c r="C950" s="147"/>
      <c r="D950" s="148"/>
      <c r="E950" s="147"/>
      <c r="F950" s="147"/>
      <c r="G950" s="147"/>
      <c r="H950" s="146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6"/>
    </row>
    <row r="951">
      <c r="A951" s="146"/>
      <c r="B951" s="147"/>
      <c r="C951" s="147"/>
      <c r="D951" s="148"/>
      <c r="E951" s="147"/>
      <c r="F951" s="147"/>
      <c r="G951" s="147"/>
      <c r="H951" s="146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6"/>
    </row>
    <row r="952">
      <c r="A952" s="146"/>
      <c r="B952" s="147"/>
      <c r="C952" s="147"/>
      <c r="D952" s="148"/>
      <c r="E952" s="147"/>
      <c r="F952" s="147"/>
      <c r="G952" s="147"/>
      <c r="H952" s="146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6"/>
    </row>
    <row r="953">
      <c r="A953" s="146"/>
      <c r="B953" s="147"/>
      <c r="C953" s="147"/>
      <c r="D953" s="148"/>
      <c r="E953" s="147"/>
      <c r="F953" s="147"/>
      <c r="G953" s="147"/>
      <c r="H953" s="146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6"/>
    </row>
    <row r="954">
      <c r="A954" s="146"/>
      <c r="B954" s="147"/>
      <c r="C954" s="147"/>
      <c r="D954" s="148"/>
      <c r="E954" s="147"/>
      <c r="F954" s="147"/>
      <c r="G954" s="147"/>
      <c r="H954" s="146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6"/>
    </row>
    <row r="955">
      <c r="A955" s="146"/>
      <c r="B955" s="147"/>
      <c r="C955" s="147"/>
      <c r="D955" s="148"/>
      <c r="E955" s="147"/>
      <c r="F955" s="147"/>
      <c r="G955" s="147"/>
      <c r="H955" s="146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6"/>
    </row>
    <row r="956">
      <c r="A956" s="146"/>
      <c r="B956" s="147"/>
      <c r="C956" s="147"/>
      <c r="D956" s="148"/>
      <c r="E956" s="147"/>
      <c r="F956" s="147"/>
      <c r="G956" s="147"/>
      <c r="H956" s="146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6"/>
    </row>
    <row r="957">
      <c r="A957" s="146"/>
      <c r="B957" s="147"/>
      <c r="C957" s="147"/>
      <c r="D957" s="148"/>
      <c r="E957" s="147"/>
      <c r="F957" s="147"/>
      <c r="G957" s="147"/>
      <c r="H957" s="146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6"/>
    </row>
    <row r="958">
      <c r="A958" s="146"/>
      <c r="B958" s="147"/>
      <c r="C958" s="147"/>
      <c r="D958" s="148"/>
      <c r="E958" s="147"/>
      <c r="F958" s="147"/>
      <c r="G958" s="147"/>
      <c r="H958" s="146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6"/>
    </row>
    <row r="959">
      <c r="A959" s="146"/>
      <c r="B959" s="147"/>
      <c r="C959" s="147"/>
      <c r="D959" s="148"/>
      <c r="E959" s="147"/>
      <c r="F959" s="147"/>
      <c r="G959" s="147"/>
      <c r="H959" s="146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6"/>
    </row>
    <row r="960">
      <c r="A960" s="146"/>
      <c r="B960" s="147"/>
      <c r="C960" s="147"/>
      <c r="D960" s="148"/>
      <c r="E960" s="147"/>
      <c r="F960" s="147"/>
      <c r="G960" s="147"/>
      <c r="H960" s="146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6"/>
    </row>
    <row r="961">
      <c r="A961" s="146"/>
      <c r="B961" s="147"/>
      <c r="C961" s="147"/>
      <c r="D961" s="148"/>
      <c r="E961" s="147"/>
      <c r="F961" s="147"/>
      <c r="G961" s="147"/>
      <c r="H961" s="146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6"/>
    </row>
    <row r="962">
      <c r="A962" s="146"/>
      <c r="B962" s="147"/>
      <c r="C962" s="147"/>
      <c r="D962" s="148"/>
      <c r="E962" s="147"/>
      <c r="F962" s="147"/>
      <c r="G962" s="147"/>
      <c r="H962" s="146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6"/>
    </row>
    <row r="963">
      <c r="A963" s="146"/>
      <c r="B963" s="147"/>
      <c r="C963" s="147"/>
      <c r="D963" s="148"/>
      <c r="E963" s="147"/>
      <c r="F963" s="147"/>
      <c r="G963" s="147"/>
      <c r="H963" s="146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6"/>
    </row>
    <row r="964">
      <c r="A964" s="146"/>
      <c r="B964" s="147"/>
      <c r="C964" s="147"/>
      <c r="D964" s="148"/>
      <c r="E964" s="147"/>
      <c r="F964" s="147"/>
      <c r="G964" s="147"/>
      <c r="H964" s="146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6"/>
    </row>
    <row r="965">
      <c r="A965" s="146"/>
      <c r="B965" s="147"/>
      <c r="C965" s="147"/>
      <c r="D965" s="148"/>
      <c r="E965" s="147"/>
      <c r="F965" s="147"/>
      <c r="G965" s="147"/>
      <c r="H965" s="146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6"/>
    </row>
    <row r="966">
      <c r="A966" s="146"/>
      <c r="B966" s="147"/>
      <c r="C966" s="147"/>
      <c r="D966" s="148"/>
      <c r="E966" s="147"/>
      <c r="F966" s="147"/>
      <c r="G966" s="147"/>
      <c r="H966" s="146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6"/>
    </row>
    <row r="967">
      <c r="A967" s="146"/>
      <c r="B967" s="147"/>
      <c r="C967" s="147"/>
      <c r="D967" s="148"/>
      <c r="E967" s="147"/>
      <c r="F967" s="147"/>
      <c r="G967" s="147"/>
      <c r="H967" s="146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6"/>
    </row>
    <row r="968">
      <c r="A968" s="146"/>
      <c r="B968" s="147"/>
      <c r="C968" s="147"/>
      <c r="D968" s="148"/>
      <c r="E968" s="147"/>
      <c r="F968" s="147"/>
      <c r="G968" s="147"/>
      <c r="H968" s="146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6"/>
    </row>
    <row r="969">
      <c r="A969" s="146"/>
      <c r="B969" s="147"/>
      <c r="C969" s="147"/>
      <c r="D969" s="148"/>
      <c r="E969" s="147"/>
      <c r="F969" s="147"/>
      <c r="G969" s="147"/>
      <c r="H969" s="146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6"/>
    </row>
    <row r="970">
      <c r="A970" s="146"/>
      <c r="B970" s="147"/>
      <c r="C970" s="147"/>
      <c r="D970" s="148"/>
      <c r="E970" s="147"/>
      <c r="F970" s="147"/>
      <c r="G970" s="147"/>
      <c r="H970" s="146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6"/>
    </row>
    <row r="971">
      <c r="A971" s="146"/>
      <c r="B971" s="147"/>
      <c r="C971" s="147"/>
      <c r="D971" s="148"/>
      <c r="E971" s="147"/>
      <c r="F971" s="147"/>
      <c r="G971" s="147"/>
      <c r="H971" s="146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6"/>
    </row>
    <row r="972">
      <c r="A972" s="146"/>
      <c r="B972" s="147"/>
      <c r="C972" s="147"/>
      <c r="D972" s="148"/>
      <c r="E972" s="147"/>
      <c r="F972" s="147"/>
      <c r="G972" s="147"/>
      <c r="H972" s="146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6"/>
    </row>
    <row r="973">
      <c r="A973" s="146"/>
      <c r="B973" s="147"/>
      <c r="C973" s="147"/>
      <c r="D973" s="148"/>
      <c r="E973" s="147"/>
      <c r="F973" s="147"/>
      <c r="G973" s="147"/>
      <c r="H973" s="146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6"/>
    </row>
    <row r="974">
      <c r="A974" s="146"/>
      <c r="B974" s="147"/>
      <c r="C974" s="147"/>
      <c r="D974" s="148"/>
      <c r="E974" s="147"/>
      <c r="F974" s="147"/>
      <c r="G974" s="147"/>
      <c r="H974" s="146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6"/>
    </row>
    <row r="975">
      <c r="A975" s="146"/>
      <c r="B975" s="147"/>
      <c r="C975" s="147"/>
      <c r="D975" s="148"/>
      <c r="E975" s="147"/>
      <c r="F975" s="147"/>
      <c r="G975" s="147"/>
      <c r="H975" s="146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6"/>
    </row>
    <row r="976">
      <c r="A976" s="146"/>
      <c r="B976" s="147"/>
      <c r="C976" s="147"/>
      <c r="D976" s="148"/>
      <c r="E976" s="147"/>
      <c r="F976" s="147"/>
      <c r="G976" s="147"/>
      <c r="H976" s="146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6"/>
    </row>
    <row r="977">
      <c r="A977" s="146"/>
      <c r="B977" s="147"/>
      <c r="C977" s="147"/>
      <c r="D977" s="148"/>
      <c r="E977" s="147"/>
      <c r="F977" s="147"/>
      <c r="G977" s="147"/>
      <c r="H977" s="146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6"/>
    </row>
    <row r="978">
      <c r="A978" s="146"/>
      <c r="B978" s="147"/>
      <c r="C978" s="147"/>
      <c r="D978" s="148"/>
      <c r="E978" s="147"/>
      <c r="F978" s="147"/>
      <c r="G978" s="147"/>
      <c r="H978" s="146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6"/>
    </row>
    <row r="979">
      <c r="A979" s="146"/>
      <c r="B979" s="147"/>
      <c r="C979" s="147"/>
      <c r="D979" s="148"/>
      <c r="E979" s="147"/>
      <c r="F979" s="147"/>
      <c r="G979" s="147"/>
      <c r="H979" s="146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6"/>
    </row>
    <row r="980">
      <c r="A980" s="146"/>
      <c r="B980" s="147"/>
      <c r="C980" s="147"/>
      <c r="D980" s="148"/>
      <c r="E980" s="147"/>
      <c r="F980" s="147"/>
      <c r="G980" s="147"/>
      <c r="H980" s="146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6"/>
    </row>
    <row r="981">
      <c r="A981" s="146"/>
      <c r="B981" s="147"/>
      <c r="C981" s="147"/>
      <c r="D981" s="148"/>
      <c r="E981" s="147"/>
      <c r="F981" s="147"/>
      <c r="G981" s="147"/>
      <c r="H981" s="146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6"/>
    </row>
    <row r="982">
      <c r="A982" s="146"/>
      <c r="B982" s="147"/>
      <c r="C982" s="147"/>
      <c r="D982" s="148"/>
      <c r="E982" s="147"/>
      <c r="F982" s="147"/>
      <c r="G982" s="147"/>
      <c r="H982" s="146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6"/>
    </row>
    <row r="983">
      <c r="A983" s="146"/>
      <c r="B983" s="147"/>
      <c r="C983" s="147"/>
      <c r="D983" s="148"/>
      <c r="E983" s="147"/>
      <c r="F983" s="147"/>
      <c r="G983" s="147"/>
      <c r="H983" s="146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6"/>
    </row>
    <row r="984">
      <c r="A984" s="146"/>
      <c r="B984" s="147"/>
      <c r="C984" s="147"/>
      <c r="D984" s="148"/>
      <c r="E984" s="147"/>
      <c r="F984" s="147"/>
      <c r="G984" s="147"/>
      <c r="H984" s="146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6"/>
    </row>
    <row r="985">
      <c r="A985" s="146"/>
      <c r="B985" s="147"/>
      <c r="C985" s="147"/>
      <c r="D985" s="148"/>
      <c r="E985" s="147"/>
      <c r="F985" s="147"/>
      <c r="G985" s="147"/>
      <c r="H985" s="146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6"/>
    </row>
    <row r="986">
      <c r="A986" s="146"/>
      <c r="B986" s="147"/>
      <c r="C986" s="147"/>
      <c r="D986" s="148"/>
      <c r="E986" s="147"/>
      <c r="F986" s="147"/>
      <c r="G986" s="147"/>
      <c r="H986" s="146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6"/>
    </row>
    <row r="987">
      <c r="A987" s="146"/>
      <c r="B987" s="147"/>
      <c r="C987" s="147"/>
      <c r="D987" s="148"/>
      <c r="E987" s="147"/>
      <c r="F987" s="147"/>
      <c r="G987" s="147"/>
      <c r="H987" s="146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6"/>
    </row>
    <row r="988">
      <c r="A988" s="146"/>
      <c r="B988" s="147"/>
      <c r="C988" s="147"/>
      <c r="D988" s="148"/>
      <c r="E988" s="147"/>
      <c r="F988" s="147"/>
      <c r="G988" s="147"/>
      <c r="H988" s="146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6"/>
    </row>
    <row r="989">
      <c r="A989" s="146"/>
      <c r="B989" s="147"/>
      <c r="C989" s="147"/>
      <c r="D989" s="148"/>
      <c r="E989" s="147"/>
      <c r="F989" s="147"/>
      <c r="G989" s="147"/>
      <c r="H989" s="146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6"/>
    </row>
    <row r="990">
      <c r="A990" s="146"/>
      <c r="B990" s="147"/>
      <c r="C990" s="147"/>
      <c r="D990" s="148"/>
      <c r="E990" s="147"/>
      <c r="F990" s="147"/>
      <c r="G990" s="147"/>
      <c r="H990" s="146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6"/>
    </row>
    <row r="991">
      <c r="A991" s="146"/>
      <c r="B991" s="147"/>
      <c r="C991" s="147"/>
      <c r="D991" s="148"/>
      <c r="E991" s="147"/>
      <c r="F991" s="147"/>
      <c r="G991" s="147"/>
      <c r="H991" s="146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6"/>
    </row>
    <row r="992">
      <c r="A992" s="146"/>
      <c r="B992" s="147"/>
      <c r="C992" s="147"/>
      <c r="D992" s="148"/>
      <c r="E992" s="147"/>
      <c r="F992" s="147"/>
      <c r="G992" s="147"/>
      <c r="H992" s="146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6"/>
    </row>
    <row r="993">
      <c r="A993" s="146"/>
      <c r="B993" s="147"/>
      <c r="C993" s="147"/>
      <c r="D993" s="148"/>
      <c r="E993" s="147"/>
      <c r="F993" s="147"/>
      <c r="G993" s="147"/>
      <c r="H993" s="146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6"/>
    </row>
    <row r="994">
      <c r="A994" s="146"/>
      <c r="B994" s="147"/>
      <c r="C994" s="147"/>
      <c r="D994" s="148"/>
      <c r="E994" s="147"/>
      <c r="F994" s="147"/>
      <c r="G994" s="147"/>
      <c r="H994" s="146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6"/>
    </row>
    <row r="995">
      <c r="A995" s="146"/>
      <c r="B995" s="147"/>
      <c r="C995" s="147"/>
      <c r="D995" s="148"/>
      <c r="E995" s="147"/>
      <c r="F995" s="147"/>
      <c r="G995" s="147"/>
      <c r="H995" s="146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6"/>
    </row>
    <row r="996">
      <c r="A996" s="146"/>
      <c r="B996" s="147"/>
      <c r="C996" s="147"/>
      <c r="D996" s="148"/>
      <c r="E996" s="147"/>
      <c r="F996" s="147"/>
      <c r="G996" s="147"/>
      <c r="H996" s="146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6"/>
    </row>
    <row r="997">
      <c r="A997" s="146"/>
      <c r="B997" s="147"/>
      <c r="C997" s="147"/>
      <c r="D997" s="148"/>
      <c r="E997" s="147"/>
      <c r="F997" s="147"/>
      <c r="G997" s="147"/>
      <c r="H997" s="146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6"/>
    </row>
    <row r="998">
      <c r="A998" s="146"/>
      <c r="B998" s="147"/>
      <c r="C998" s="147"/>
      <c r="D998" s="148"/>
      <c r="E998" s="147"/>
      <c r="F998" s="147"/>
      <c r="G998" s="147"/>
      <c r="H998" s="146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6"/>
    </row>
    <row r="999">
      <c r="A999" s="146"/>
      <c r="B999" s="147"/>
      <c r="C999" s="147"/>
      <c r="D999" s="148"/>
      <c r="E999" s="147"/>
      <c r="F999" s="147"/>
      <c r="G999" s="147"/>
      <c r="H999" s="146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6"/>
    </row>
    <row r="1000">
      <c r="A1000" s="146"/>
      <c r="B1000" s="147"/>
      <c r="C1000" s="147"/>
      <c r="D1000" s="148"/>
      <c r="E1000" s="147"/>
      <c r="F1000" s="147"/>
      <c r="G1000" s="147"/>
      <c r="H1000" s="146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6"/>
    </row>
    <row r="1001">
      <c r="A1001" s="146"/>
      <c r="B1001" s="147"/>
      <c r="C1001" s="147"/>
      <c r="D1001" s="148"/>
      <c r="E1001" s="147"/>
      <c r="F1001" s="147"/>
      <c r="G1001" s="147"/>
      <c r="H1001" s="146"/>
      <c r="I1001" s="147"/>
      <c r="J1001" s="147"/>
      <c r="K1001" s="147"/>
      <c r="L1001" s="147"/>
      <c r="M1001" s="147"/>
      <c r="N1001" s="147"/>
      <c r="O1001" s="147"/>
      <c r="P1001" s="147"/>
      <c r="Q1001" s="147"/>
      <c r="R1001" s="147"/>
      <c r="S1001" s="147"/>
      <c r="T1001" s="147"/>
      <c r="U1001" s="147"/>
      <c r="V1001" s="147"/>
      <c r="W1001" s="147"/>
      <c r="X1001" s="147"/>
      <c r="Y1001" s="146"/>
    </row>
    <row r="1002">
      <c r="A1002" s="146"/>
      <c r="B1002" s="147"/>
      <c r="C1002" s="147"/>
      <c r="D1002" s="148"/>
      <c r="E1002" s="147"/>
      <c r="F1002" s="147"/>
      <c r="G1002" s="147"/>
      <c r="H1002" s="146"/>
      <c r="I1002" s="147"/>
      <c r="J1002" s="147"/>
      <c r="K1002" s="147"/>
      <c r="L1002" s="147"/>
      <c r="M1002" s="147"/>
      <c r="N1002" s="147"/>
      <c r="O1002" s="147"/>
      <c r="P1002" s="147"/>
      <c r="Q1002" s="147"/>
      <c r="R1002" s="147"/>
      <c r="S1002" s="147"/>
      <c r="T1002" s="147"/>
      <c r="U1002" s="147"/>
      <c r="V1002" s="147"/>
      <c r="W1002" s="147"/>
      <c r="X1002" s="147"/>
      <c r="Y1002" s="146"/>
    </row>
    <row r="1003">
      <c r="A1003" s="146"/>
      <c r="B1003" s="147"/>
      <c r="C1003" s="147"/>
      <c r="D1003" s="148"/>
      <c r="E1003" s="147"/>
      <c r="F1003" s="147"/>
      <c r="G1003" s="147"/>
      <c r="H1003" s="146"/>
      <c r="I1003" s="147"/>
      <c r="J1003" s="147"/>
      <c r="K1003" s="147"/>
      <c r="L1003" s="147"/>
      <c r="M1003" s="147"/>
      <c r="N1003" s="147"/>
      <c r="O1003" s="147"/>
      <c r="P1003" s="147"/>
      <c r="Q1003" s="147"/>
      <c r="R1003" s="147"/>
      <c r="S1003" s="147"/>
      <c r="T1003" s="147"/>
      <c r="U1003" s="147"/>
      <c r="V1003" s="147"/>
      <c r="W1003" s="147"/>
      <c r="X1003" s="147"/>
      <c r="Y1003" s="146"/>
    </row>
    <row r="1004">
      <c r="A1004" s="146"/>
      <c r="B1004" s="147"/>
      <c r="C1004" s="147"/>
      <c r="D1004" s="148"/>
      <c r="E1004" s="147"/>
      <c r="F1004" s="147"/>
      <c r="G1004" s="147"/>
      <c r="H1004" s="146"/>
      <c r="I1004" s="147"/>
      <c r="J1004" s="147"/>
      <c r="K1004" s="147"/>
      <c r="L1004" s="147"/>
      <c r="M1004" s="147"/>
      <c r="N1004" s="147"/>
      <c r="O1004" s="147"/>
      <c r="P1004" s="147"/>
      <c r="Q1004" s="147"/>
      <c r="R1004" s="147"/>
      <c r="S1004" s="147"/>
      <c r="T1004" s="147"/>
      <c r="U1004" s="147"/>
      <c r="V1004" s="147"/>
      <c r="W1004" s="147"/>
      <c r="X1004" s="147"/>
      <c r="Y1004" s="146"/>
    </row>
    <row r="1005">
      <c r="A1005" s="146"/>
      <c r="B1005" s="147"/>
      <c r="C1005" s="147"/>
      <c r="D1005" s="148"/>
      <c r="E1005" s="147"/>
      <c r="F1005" s="147"/>
      <c r="G1005" s="147"/>
      <c r="H1005" s="146"/>
      <c r="I1005" s="147"/>
      <c r="J1005" s="147"/>
      <c r="K1005" s="147"/>
      <c r="L1005" s="147"/>
      <c r="M1005" s="147"/>
      <c r="N1005" s="147"/>
      <c r="O1005" s="147"/>
      <c r="P1005" s="147"/>
      <c r="Q1005" s="147"/>
      <c r="R1005" s="147"/>
      <c r="S1005" s="147"/>
      <c r="T1005" s="147"/>
      <c r="U1005" s="147"/>
      <c r="V1005" s="147"/>
      <c r="W1005" s="147"/>
      <c r="X1005" s="147"/>
      <c r="Y1005" s="146"/>
    </row>
    <row r="1006">
      <c r="A1006" s="146"/>
      <c r="B1006" s="147"/>
      <c r="C1006" s="147"/>
      <c r="D1006" s="148"/>
      <c r="E1006" s="147"/>
      <c r="F1006" s="147"/>
      <c r="G1006" s="147"/>
      <c r="H1006" s="146"/>
      <c r="I1006" s="147"/>
      <c r="J1006" s="147"/>
      <c r="K1006" s="147"/>
      <c r="L1006" s="147"/>
      <c r="M1006" s="147"/>
      <c r="N1006" s="147"/>
      <c r="O1006" s="147"/>
      <c r="P1006" s="147"/>
      <c r="Q1006" s="147"/>
      <c r="R1006" s="147"/>
      <c r="S1006" s="147"/>
      <c r="T1006" s="147"/>
      <c r="U1006" s="147"/>
      <c r="V1006" s="147"/>
      <c r="W1006" s="147"/>
      <c r="X1006" s="147"/>
      <c r="Y1006" s="146"/>
    </row>
    <row r="1007">
      <c r="A1007" s="146"/>
      <c r="B1007" s="147"/>
      <c r="C1007" s="147"/>
      <c r="D1007" s="148"/>
      <c r="E1007" s="147"/>
      <c r="F1007" s="147"/>
      <c r="G1007" s="147"/>
      <c r="H1007" s="146"/>
      <c r="I1007" s="147"/>
      <c r="J1007" s="147"/>
      <c r="K1007" s="147"/>
      <c r="L1007" s="147"/>
      <c r="M1007" s="147"/>
      <c r="N1007" s="147"/>
      <c r="O1007" s="147"/>
      <c r="P1007" s="147"/>
      <c r="Q1007" s="147"/>
      <c r="R1007" s="147"/>
      <c r="S1007" s="147"/>
      <c r="T1007" s="147"/>
      <c r="U1007" s="147"/>
      <c r="V1007" s="147"/>
      <c r="W1007" s="147"/>
      <c r="X1007" s="147"/>
      <c r="Y1007" s="146"/>
    </row>
    <row r="1008">
      <c r="A1008" s="146"/>
      <c r="B1008" s="147"/>
      <c r="C1008" s="147"/>
      <c r="D1008" s="148"/>
      <c r="E1008" s="147"/>
      <c r="F1008" s="147"/>
      <c r="G1008" s="147"/>
      <c r="H1008" s="146"/>
      <c r="I1008" s="147"/>
      <c r="J1008" s="147"/>
      <c r="K1008" s="147"/>
      <c r="L1008" s="147"/>
      <c r="M1008" s="147"/>
      <c r="N1008" s="147"/>
      <c r="O1008" s="147"/>
      <c r="P1008" s="147"/>
      <c r="Q1008" s="147"/>
      <c r="R1008" s="147"/>
      <c r="S1008" s="147"/>
      <c r="T1008" s="147"/>
      <c r="U1008" s="147"/>
      <c r="V1008" s="147"/>
      <c r="W1008" s="147"/>
      <c r="X1008" s="147"/>
      <c r="Y1008" s="146"/>
    </row>
    <row r="1009">
      <c r="A1009" s="146"/>
      <c r="B1009" s="147"/>
      <c r="C1009" s="147"/>
      <c r="D1009" s="148"/>
      <c r="E1009" s="147"/>
      <c r="F1009" s="147"/>
      <c r="G1009" s="147"/>
      <c r="H1009" s="146"/>
      <c r="I1009" s="147"/>
      <c r="J1009" s="147"/>
      <c r="K1009" s="147"/>
      <c r="L1009" s="147"/>
      <c r="M1009" s="147"/>
      <c r="N1009" s="147"/>
      <c r="O1009" s="147"/>
      <c r="P1009" s="147"/>
      <c r="Q1009" s="147"/>
      <c r="R1009" s="147"/>
      <c r="S1009" s="147"/>
      <c r="T1009" s="147"/>
      <c r="U1009" s="147"/>
      <c r="V1009" s="147"/>
      <c r="W1009" s="147"/>
      <c r="X1009" s="147"/>
      <c r="Y1009" s="146"/>
    </row>
    <row r="1010">
      <c r="A1010" s="146"/>
      <c r="B1010" s="147"/>
      <c r="C1010" s="147"/>
      <c r="D1010" s="148"/>
      <c r="E1010" s="147"/>
      <c r="F1010" s="147"/>
      <c r="G1010" s="147"/>
      <c r="H1010" s="146"/>
      <c r="I1010" s="147"/>
      <c r="J1010" s="147"/>
      <c r="K1010" s="147"/>
      <c r="L1010" s="147"/>
      <c r="M1010" s="147"/>
      <c r="N1010" s="147"/>
      <c r="O1010" s="147"/>
      <c r="P1010" s="147"/>
      <c r="Q1010" s="147"/>
      <c r="R1010" s="147"/>
      <c r="S1010" s="147"/>
      <c r="T1010" s="147"/>
      <c r="U1010" s="147"/>
      <c r="V1010" s="147"/>
      <c r="W1010" s="147"/>
      <c r="X1010" s="147"/>
      <c r="Y1010" s="146"/>
    </row>
    <row r="1011">
      <c r="A1011" s="146"/>
      <c r="B1011" s="147"/>
      <c r="C1011" s="147"/>
      <c r="D1011" s="148"/>
      <c r="E1011" s="147"/>
      <c r="F1011" s="147"/>
      <c r="G1011" s="147"/>
      <c r="H1011" s="146"/>
      <c r="I1011" s="147"/>
      <c r="J1011" s="147"/>
      <c r="K1011" s="147"/>
      <c r="L1011" s="147"/>
      <c r="M1011" s="147"/>
      <c r="N1011" s="147"/>
      <c r="O1011" s="147"/>
      <c r="P1011" s="147"/>
      <c r="Q1011" s="147"/>
      <c r="R1011" s="147"/>
      <c r="S1011" s="147"/>
      <c r="T1011" s="147"/>
      <c r="U1011" s="147"/>
      <c r="V1011" s="147"/>
      <c r="W1011" s="147"/>
      <c r="X1011" s="147"/>
      <c r="Y1011" s="146"/>
    </row>
    <row r="1012">
      <c r="A1012" s="146"/>
      <c r="B1012" s="147"/>
      <c r="C1012" s="147"/>
      <c r="D1012" s="148"/>
      <c r="E1012" s="147"/>
      <c r="F1012" s="147"/>
      <c r="G1012" s="147"/>
      <c r="H1012" s="146"/>
      <c r="I1012" s="147"/>
      <c r="J1012" s="147"/>
      <c r="K1012" s="147"/>
      <c r="L1012" s="147"/>
      <c r="M1012" s="147"/>
      <c r="N1012" s="147"/>
      <c r="O1012" s="147"/>
      <c r="P1012" s="147"/>
      <c r="Q1012" s="147"/>
      <c r="R1012" s="147"/>
      <c r="S1012" s="147"/>
      <c r="T1012" s="147"/>
      <c r="U1012" s="147"/>
      <c r="V1012" s="147"/>
      <c r="W1012" s="147"/>
      <c r="X1012" s="147"/>
      <c r="Y1012" s="146"/>
    </row>
    <row r="1013">
      <c r="A1013" s="146"/>
      <c r="B1013" s="147"/>
      <c r="C1013" s="147"/>
      <c r="D1013" s="148"/>
      <c r="E1013" s="147"/>
      <c r="F1013" s="147"/>
      <c r="G1013" s="147"/>
      <c r="H1013" s="146"/>
      <c r="I1013" s="147"/>
      <c r="J1013" s="147"/>
      <c r="K1013" s="147"/>
      <c r="L1013" s="147"/>
      <c r="M1013" s="147"/>
      <c r="N1013" s="147"/>
      <c r="O1013" s="147"/>
      <c r="P1013" s="147"/>
      <c r="Q1013" s="147"/>
      <c r="R1013" s="147"/>
      <c r="S1013" s="147"/>
      <c r="T1013" s="147"/>
      <c r="U1013" s="147"/>
      <c r="V1013" s="147"/>
      <c r="W1013" s="147"/>
      <c r="X1013" s="147"/>
      <c r="Y1013" s="146"/>
    </row>
    <row r="1014">
      <c r="A1014" s="146"/>
      <c r="B1014" s="147"/>
      <c r="C1014" s="147"/>
      <c r="D1014" s="148"/>
      <c r="E1014" s="147"/>
      <c r="F1014" s="147"/>
      <c r="G1014" s="147"/>
      <c r="H1014" s="146"/>
      <c r="I1014" s="147"/>
      <c r="J1014" s="147"/>
      <c r="K1014" s="147"/>
      <c r="L1014" s="147"/>
      <c r="M1014" s="147"/>
      <c r="N1014" s="147"/>
      <c r="O1014" s="147"/>
      <c r="P1014" s="147"/>
      <c r="Q1014" s="147"/>
      <c r="R1014" s="147"/>
      <c r="S1014" s="147"/>
      <c r="T1014" s="147"/>
      <c r="U1014" s="147"/>
      <c r="V1014" s="147"/>
      <c r="W1014" s="147"/>
      <c r="X1014" s="147"/>
      <c r="Y1014" s="146"/>
    </row>
    <row r="1015">
      <c r="A1015" s="146"/>
      <c r="B1015" s="147"/>
      <c r="C1015" s="147"/>
      <c r="D1015" s="148"/>
      <c r="E1015" s="147"/>
      <c r="F1015" s="147"/>
      <c r="G1015" s="147"/>
      <c r="H1015" s="146"/>
      <c r="I1015" s="147"/>
      <c r="J1015" s="147"/>
      <c r="K1015" s="147"/>
      <c r="L1015" s="147"/>
      <c r="M1015" s="147"/>
      <c r="N1015" s="147"/>
      <c r="O1015" s="147"/>
      <c r="P1015" s="147"/>
      <c r="Q1015" s="147"/>
      <c r="R1015" s="147"/>
      <c r="S1015" s="147"/>
      <c r="T1015" s="147"/>
      <c r="U1015" s="147"/>
      <c r="V1015" s="147"/>
      <c r="W1015" s="147"/>
      <c r="X1015" s="147"/>
      <c r="Y1015" s="146"/>
    </row>
    <row r="1016">
      <c r="A1016" s="146"/>
      <c r="B1016" s="147"/>
      <c r="C1016" s="147"/>
      <c r="D1016" s="148"/>
      <c r="E1016" s="147"/>
      <c r="F1016" s="147"/>
      <c r="G1016" s="147"/>
      <c r="H1016" s="146"/>
      <c r="I1016" s="147"/>
      <c r="J1016" s="147"/>
      <c r="K1016" s="147"/>
      <c r="L1016" s="147"/>
      <c r="M1016" s="147"/>
      <c r="N1016" s="147"/>
      <c r="O1016" s="147"/>
      <c r="P1016" s="147"/>
      <c r="Q1016" s="147"/>
      <c r="R1016" s="147"/>
      <c r="S1016" s="147"/>
      <c r="T1016" s="147"/>
      <c r="U1016" s="147"/>
      <c r="V1016" s="147"/>
      <c r="W1016" s="147"/>
      <c r="X1016" s="147"/>
      <c r="Y1016" s="146"/>
    </row>
    <row r="1017">
      <c r="A1017" s="146"/>
      <c r="B1017" s="147"/>
      <c r="C1017" s="147"/>
      <c r="D1017" s="148"/>
      <c r="E1017" s="147"/>
      <c r="F1017" s="147"/>
      <c r="G1017" s="147"/>
      <c r="H1017" s="146"/>
      <c r="I1017" s="147"/>
      <c r="J1017" s="147"/>
      <c r="K1017" s="147"/>
      <c r="L1017" s="147"/>
      <c r="M1017" s="147"/>
      <c r="N1017" s="147"/>
      <c r="O1017" s="147"/>
      <c r="P1017" s="147"/>
      <c r="Q1017" s="147"/>
      <c r="R1017" s="147"/>
      <c r="S1017" s="147"/>
      <c r="T1017" s="147"/>
      <c r="U1017" s="147"/>
      <c r="V1017" s="147"/>
      <c r="W1017" s="147"/>
      <c r="X1017" s="147"/>
      <c r="Y1017" s="146"/>
    </row>
    <row r="1018">
      <c r="A1018" s="146"/>
      <c r="B1018" s="147"/>
      <c r="C1018" s="147"/>
      <c r="D1018" s="148"/>
      <c r="E1018" s="147"/>
      <c r="F1018" s="147"/>
      <c r="G1018" s="147"/>
      <c r="H1018" s="146"/>
      <c r="I1018" s="147"/>
      <c r="J1018" s="147"/>
      <c r="K1018" s="147"/>
      <c r="L1018" s="147"/>
      <c r="M1018" s="147"/>
      <c r="N1018" s="147"/>
      <c r="O1018" s="147"/>
      <c r="P1018" s="147"/>
      <c r="Q1018" s="147"/>
      <c r="R1018" s="147"/>
      <c r="S1018" s="147"/>
      <c r="T1018" s="147"/>
      <c r="U1018" s="147"/>
      <c r="V1018" s="147"/>
      <c r="W1018" s="147"/>
      <c r="X1018" s="147"/>
      <c r="Y1018" s="146"/>
    </row>
    <row r="1019">
      <c r="A1019" s="146"/>
      <c r="B1019" s="147"/>
      <c r="C1019" s="147"/>
      <c r="D1019" s="148"/>
      <c r="E1019" s="147"/>
      <c r="F1019" s="147"/>
      <c r="G1019" s="147"/>
      <c r="H1019" s="146"/>
      <c r="I1019" s="147"/>
      <c r="J1019" s="147"/>
      <c r="K1019" s="147"/>
      <c r="L1019" s="147"/>
      <c r="M1019" s="147"/>
      <c r="N1019" s="147"/>
      <c r="O1019" s="147"/>
      <c r="P1019" s="147"/>
      <c r="Q1019" s="147"/>
      <c r="R1019" s="147"/>
      <c r="S1019" s="147"/>
      <c r="T1019" s="147"/>
      <c r="U1019" s="147"/>
      <c r="V1019" s="147"/>
      <c r="W1019" s="147"/>
      <c r="X1019" s="147"/>
      <c r="Y1019" s="146"/>
    </row>
    <row r="1020">
      <c r="A1020" s="146"/>
      <c r="B1020" s="147"/>
      <c r="C1020" s="147"/>
      <c r="D1020" s="148"/>
      <c r="E1020" s="147"/>
      <c r="F1020" s="147"/>
      <c r="G1020" s="147"/>
      <c r="H1020" s="146"/>
      <c r="I1020" s="147"/>
      <c r="J1020" s="147"/>
      <c r="K1020" s="147"/>
      <c r="L1020" s="147"/>
      <c r="M1020" s="147"/>
      <c r="N1020" s="147"/>
      <c r="O1020" s="147"/>
      <c r="P1020" s="147"/>
      <c r="Q1020" s="147"/>
      <c r="R1020" s="147"/>
      <c r="S1020" s="147"/>
      <c r="T1020" s="147"/>
      <c r="U1020" s="147"/>
      <c r="V1020" s="147"/>
      <c r="W1020" s="147"/>
      <c r="X1020" s="147"/>
      <c r="Y1020" s="146"/>
    </row>
    <row r="1021">
      <c r="A1021" s="146"/>
      <c r="B1021" s="147"/>
      <c r="C1021" s="147"/>
      <c r="D1021" s="148"/>
      <c r="E1021" s="147"/>
      <c r="F1021" s="147"/>
      <c r="G1021" s="147"/>
      <c r="H1021" s="146"/>
      <c r="I1021" s="147"/>
      <c r="J1021" s="147"/>
      <c r="K1021" s="147"/>
      <c r="L1021" s="147"/>
      <c r="M1021" s="147"/>
      <c r="N1021" s="147"/>
      <c r="O1021" s="147"/>
      <c r="P1021" s="147"/>
      <c r="Q1021" s="147"/>
      <c r="R1021" s="147"/>
      <c r="S1021" s="147"/>
      <c r="T1021" s="147"/>
      <c r="U1021" s="147"/>
      <c r="V1021" s="147"/>
      <c r="W1021" s="147"/>
      <c r="X1021" s="147"/>
      <c r="Y1021" s="146"/>
    </row>
    <row r="1022">
      <c r="A1022" s="146"/>
      <c r="B1022" s="147"/>
      <c r="C1022" s="147"/>
      <c r="D1022" s="148"/>
      <c r="E1022" s="147"/>
      <c r="F1022" s="147"/>
      <c r="G1022" s="147"/>
      <c r="H1022" s="146"/>
      <c r="I1022" s="147"/>
      <c r="J1022" s="147"/>
      <c r="K1022" s="147"/>
      <c r="L1022" s="147"/>
      <c r="M1022" s="147"/>
      <c r="N1022" s="147"/>
      <c r="O1022" s="147"/>
      <c r="P1022" s="147"/>
      <c r="Q1022" s="147"/>
      <c r="R1022" s="147"/>
      <c r="S1022" s="147"/>
      <c r="T1022" s="147"/>
      <c r="U1022" s="147"/>
      <c r="V1022" s="147"/>
      <c r="W1022" s="147"/>
      <c r="X1022" s="147"/>
      <c r="Y1022" s="146"/>
    </row>
    <row r="1023">
      <c r="A1023" s="146"/>
      <c r="B1023" s="147"/>
      <c r="C1023" s="147"/>
      <c r="D1023" s="148"/>
      <c r="E1023" s="147"/>
      <c r="F1023" s="147"/>
      <c r="G1023" s="147"/>
      <c r="H1023" s="146"/>
      <c r="I1023" s="147"/>
      <c r="J1023" s="147"/>
      <c r="K1023" s="147"/>
      <c r="L1023" s="147"/>
      <c r="M1023" s="147"/>
      <c r="N1023" s="147"/>
      <c r="O1023" s="147"/>
      <c r="P1023" s="147"/>
      <c r="Q1023" s="147"/>
      <c r="R1023" s="147"/>
      <c r="S1023" s="147"/>
      <c r="T1023" s="147"/>
      <c r="U1023" s="147"/>
      <c r="V1023" s="147"/>
      <c r="W1023" s="147"/>
      <c r="X1023" s="147"/>
      <c r="Y1023" s="146"/>
    </row>
    <row r="1024">
      <c r="A1024" s="146"/>
      <c r="B1024" s="147"/>
      <c r="C1024" s="147"/>
      <c r="D1024" s="148"/>
      <c r="E1024" s="147"/>
      <c r="F1024" s="147"/>
      <c r="G1024" s="147"/>
      <c r="H1024" s="146"/>
      <c r="I1024" s="147"/>
      <c r="J1024" s="147"/>
      <c r="K1024" s="147"/>
      <c r="L1024" s="147"/>
      <c r="M1024" s="147"/>
      <c r="N1024" s="147"/>
      <c r="O1024" s="147"/>
      <c r="P1024" s="147"/>
      <c r="Q1024" s="147"/>
      <c r="R1024" s="147"/>
      <c r="S1024" s="147"/>
      <c r="T1024" s="147"/>
      <c r="U1024" s="147"/>
      <c r="V1024" s="147"/>
      <c r="W1024" s="147"/>
      <c r="X1024" s="147"/>
      <c r="Y1024" s="146"/>
    </row>
    <row r="1025">
      <c r="A1025" s="146"/>
      <c r="B1025" s="147"/>
      <c r="C1025" s="147"/>
      <c r="D1025" s="148"/>
      <c r="E1025" s="147"/>
      <c r="F1025" s="147"/>
      <c r="G1025" s="147"/>
      <c r="H1025" s="146"/>
      <c r="I1025" s="147"/>
      <c r="J1025" s="147"/>
      <c r="K1025" s="147"/>
      <c r="L1025" s="147"/>
      <c r="M1025" s="147"/>
      <c r="N1025" s="147"/>
      <c r="O1025" s="147"/>
      <c r="P1025" s="147"/>
      <c r="Q1025" s="147"/>
      <c r="R1025" s="147"/>
      <c r="S1025" s="147"/>
      <c r="T1025" s="147"/>
      <c r="U1025" s="147"/>
      <c r="V1025" s="147"/>
      <c r="W1025" s="147"/>
      <c r="X1025" s="147"/>
      <c r="Y1025" s="146"/>
    </row>
    <row r="1026">
      <c r="A1026" s="146"/>
      <c r="B1026" s="147"/>
      <c r="C1026" s="147"/>
      <c r="D1026" s="148"/>
      <c r="E1026" s="147"/>
      <c r="F1026" s="147"/>
      <c r="G1026" s="147"/>
      <c r="H1026" s="146"/>
      <c r="I1026" s="147"/>
      <c r="J1026" s="147"/>
      <c r="K1026" s="147"/>
      <c r="L1026" s="147"/>
      <c r="M1026" s="147"/>
      <c r="N1026" s="147"/>
      <c r="O1026" s="147"/>
      <c r="P1026" s="147"/>
      <c r="Q1026" s="147"/>
      <c r="R1026" s="147"/>
      <c r="S1026" s="147"/>
      <c r="T1026" s="147"/>
      <c r="U1026" s="147"/>
      <c r="V1026" s="147"/>
      <c r="W1026" s="147"/>
      <c r="X1026" s="147"/>
      <c r="Y1026" s="146"/>
    </row>
    <row r="1027">
      <c r="A1027" s="146"/>
      <c r="B1027" s="147"/>
      <c r="C1027" s="147"/>
      <c r="D1027" s="148"/>
      <c r="E1027" s="147"/>
      <c r="F1027" s="147"/>
      <c r="G1027" s="147"/>
      <c r="H1027" s="146"/>
      <c r="I1027" s="147"/>
      <c r="J1027" s="147"/>
      <c r="K1027" s="147"/>
      <c r="L1027" s="147"/>
      <c r="M1027" s="147"/>
      <c r="N1027" s="147"/>
      <c r="O1027" s="147"/>
      <c r="P1027" s="147"/>
      <c r="Q1027" s="147"/>
      <c r="R1027" s="147"/>
      <c r="S1027" s="147"/>
      <c r="T1027" s="147"/>
      <c r="U1027" s="147"/>
      <c r="V1027" s="147"/>
      <c r="W1027" s="147"/>
      <c r="X1027" s="147"/>
      <c r="Y1027" s="146"/>
    </row>
    <row r="1028">
      <c r="A1028" s="146"/>
      <c r="B1028" s="147"/>
      <c r="C1028" s="147"/>
      <c r="D1028" s="148"/>
      <c r="E1028" s="147"/>
      <c r="F1028" s="147"/>
      <c r="G1028" s="147"/>
      <c r="H1028" s="146"/>
      <c r="I1028" s="147"/>
      <c r="J1028" s="147"/>
      <c r="K1028" s="147"/>
      <c r="L1028" s="147"/>
      <c r="M1028" s="147"/>
      <c r="N1028" s="147"/>
      <c r="O1028" s="147"/>
      <c r="P1028" s="147"/>
      <c r="Q1028" s="147"/>
      <c r="R1028" s="147"/>
      <c r="S1028" s="147"/>
      <c r="T1028" s="147"/>
      <c r="U1028" s="147"/>
      <c r="V1028" s="147"/>
      <c r="W1028" s="147"/>
      <c r="X1028" s="147"/>
      <c r="Y1028" s="146"/>
    </row>
    <row r="1029">
      <c r="A1029" s="146"/>
      <c r="B1029" s="147"/>
      <c r="C1029" s="147"/>
      <c r="D1029" s="148"/>
      <c r="E1029" s="147"/>
      <c r="F1029" s="147"/>
      <c r="G1029" s="147"/>
      <c r="H1029" s="146"/>
      <c r="I1029" s="147"/>
      <c r="J1029" s="147"/>
      <c r="K1029" s="147"/>
      <c r="L1029" s="147"/>
      <c r="M1029" s="147"/>
      <c r="N1029" s="147"/>
      <c r="O1029" s="147"/>
      <c r="P1029" s="147"/>
      <c r="Q1029" s="147"/>
      <c r="R1029" s="147"/>
      <c r="S1029" s="147"/>
      <c r="T1029" s="147"/>
      <c r="U1029" s="147"/>
      <c r="V1029" s="147"/>
      <c r="W1029" s="147"/>
      <c r="X1029" s="147"/>
      <c r="Y1029" s="146"/>
    </row>
    <row r="1030">
      <c r="A1030" s="146"/>
      <c r="B1030" s="147"/>
      <c r="C1030" s="147"/>
      <c r="D1030" s="148"/>
      <c r="E1030" s="147"/>
      <c r="F1030" s="147"/>
      <c r="G1030" s="147"/>
      <c r="H1030" s="146"/>
      <c r="I1030" s="147"/>
      <c r="J1030" s="147"/>
      <c r="K1030" s="147"/>
      <c r="L1030" s="147"/>
      <c r="M1030" s="147"/>
      <c r="N1030" s="147"/>
      <c r="O1030" s="147"/>
      <c r="P1030" s="147"/>
      <c r="Q1030" s="147"/>
      <c r="R1030" s="147"/>
      <c r="S1030" s="147"/>
      <c r="T1030" s="147"/>
      <c r="U1030" s="147"/>
      <c r="V1030" s="147"/>
      <c r="W1030" s="147"/>
      <c r="X1030" s="147"/>
      <c r="Y1030" s="146"/>
    </row>
    <row r="1031">
      <c r="A1031" s="146"/>
      <c r="B1031" s="147"/>
      <c r="C1031" s="147"/>
      <c r="D1031" s="148"/>
      <c r="E1031" s="147"/>
      <c r="F1031" s="147"/>
      <c r="G1031" s="147"/>
      <c r="H1031" s="146"/>
      <c r="I1031" s="147"/>
      <c r="J1031" s="147"/>
      <c r="K1031" s="147"/>
      <c r="L1031" s="147"/>
      <c r="M1031" s="147"/>
      <c r="N1031" s="147"/>
      <c r="O1031" s="147"/>
      <c r="P1031" s="147"/>
      <c r="Q1031" s="147"/>
      <c r="R1031" s="147"/>
      <c r="S1031" s="147"/>
      <c r="T1031" s="147"/>
      <c r="U1031" s="147"/>
      <c r="V1031" s="147"/>
      <c r="W1031" s="147"/>
      <c r="X1031" s="147"/>
      <c r="Y1031" s="146"/>
    </row>
    <row r="1032">
      <c r="A1032" s="146"/>
      <c r="B1032" s="147"/>
      <c r="C1032" s="147"/>
      <c r="D1032" s="148"/>
      <c r="E1032" s="147"/>
      <c r="F1032" s="147"/>
      <c r="G1032" s="147"/>
      <c r="H1032" s="146"/>
      <c r="I1032" s="147"/>
      <c r="J1032" s="147"/>
      <c r="K1032" s="147"/>
      <c r="L1032" s="147"/>
      <c r="M1032" s="147"/>
      <c r="N1032" s="147"/>
      <c r="O1032" s="147"/>
      <c r="P1032" s="147"/>
      <c r="Q1032" s="147"/>
      <c r="R1032" s="147"/>
      <c r="S1032" s="147"/>
      <c r="T1032" s="147"/>
      <c r="U1032" s="147"/>
      <c r="V1032" s="147"/>
      <c r="W1032" s="147"/>
      <c r="X1032" s="147"/>
      <c r="Y1032" s="146"/>
    </row>
    <row r="1033">
      <c r="A1033" s="146"/>
      <c r="B1033" s="147"/>
      <c r="C1033" s="147"/>
      <c r="D1033" s="148"/>
      <c r="E1033" s="147"/>
      <c r="F1033" s="147"/>
      <c r="G1033" s="147"/>
      <c r="H1033" s="146"/>
      <c r="I1033" s="147"/>
      <c r="J1033" s="147"/>
      <c r="K1033" s="147"/>
      <c r="L1033" s="147"/>
      <c r="M1033" s="147"/>
      <c r="N1033" s="147"/>
      <c r="O1033" s="147"/>
      <c r="P1033" s="147"/>
      <c r="Q1033" s="147"/>
      <c r="R1033" s="147"/>
      <c r="S1033" s="147"/>
      <c r="T1033" s="147"/>
      <c r="U1033" s="147"/>
      <c r="V1033" s="147"/>
      <c r="W1033" s="147"/>
      <c r="X1033" s="147"/>
      <c r="Y1033" s="146"/>
    </row>
    <row r="1034">
      <c r="A1034" s="146"/>
      <c r="B1034" s="147"/>
      <c r="C1034" s="147"/>
      <c r="D1034" s="148"/>
      <c r="E1034" s="147"/>
      <c r="F1034" s="147"/>
      <c r="G1034" s="147"/>
      <c r="H1034" s="146"/>
      <c r="I1034" s="147"/>
      <c r="J1034" s="147"/>
      <c r="K1034" s="147"/>
      <c r="L1034" s="147"/>
      <c r="M1034" s="147"/>
      <c r="N1034" s="147"/>
      <c r="O1034" s="147"/>
      <c r="P1034" s="147"/>
      <c r="Q1034" s="147"/>
      <c r="R1034" s="147"/>
      <c r="S1034" s="147"/>
      <c r="T1034" s="147"/>
      <c r="U1034" s="147"/>
      <c r="V1034" s="147"/>
      <c r="W1034" s="147"/>
      <c r="X1034" s="147"/>
      <c r="Y1034" s="146"/>
    </row>
    <row r="1035">
      <c r="A1035" s="146"/>
      <c r="B1035" s="147"/>
      <c r="C1035" s="147"/>
      <c r="D1035" s="148"/>
      <c r="E1035" s="147"/>
      <c r="F1035" s="147"/>
      <c r="G1035" s="147"/>
      <c r="H1035" s="146"/>
      <c r="I1035" s="147"/>
      <c r="J1035" s="147"/>
      <c r="K1035" s="147"/>
      <c r="L1035" s="147"/>
      <c r="M1035" s="147"/>
      <c r="N1035" s="147"/>
      <c r="O1035" s="147"/>
      <c r="P1035" s="147"/>
      <c r="Q1035" s="147"/>
      <c r="R1035" s="147"/>
      <c r="S1035" s="147"/>
      <c r="T1035" s="147"/>
      <c r="U1035" s="147"/>
      <c r="V1035" s="147"/>
      <c r="W1035" s="147"/>
      <c r="X1035" s="147"/>
      <c r="Y1035" s="146"/>
    </row>
    <row r="1036">
      <c r="A1036" s="146"/>
      <c r="B1036" s="147"/>
      <c r="C1036" s="147"/>
      <c r="D1036" s="148"/>
      <c r="E1036" s="147"/>
      <c r="F1036" s="147"/>
      <c r="G1036" s="147"/>
      <c r="H1036" s="146"/>
      <c r="I1036" s="147"/>
      <c r="J1036" s="147"/>
      <c r="K1036" s="147"/>
      <c r="L1036" s="147"/>
      <c r="M1036" s="147"/>
      <c r="N1036" s="147"/>
      <c r="O1036" s="147"/>
      <c r="P1036" s="147"/>
      <c r="Q1036" s="147"/>
      <c r="R1036" s="147"/>
      <c r="S1036" s="147"/>
      <c r="T1036" s="147"/>
      <c r="U1036" s="147"/>
      <c r="V1036" s="147"/>
      <c r="W1036" s="147"/>
      <c r="X1036" s="147"/>
      <c r="Y1036" s="146"/>
    </row>
    <row r="1037">
      <c r="A1037" s="146"/>
      <c r="B1037" s="147"/>
      <c r="C1037" s="147"/>
      <c r="D1037" s="148"/>
      <c r="E1037" s="147"/>
      <c r="F1037" s="147"/>
      <c r="G1037" s="147"/>
      <c r="H1037" s="146"/>
      <c r="I1037" s="147"/>
      <c r="J1037" s="147"/>
      <c r="K1037" s="147"/>
      <c r="L1037" s="147"/>
      <c r="M1037" s="147"/>
      <c r="N1037" s="147"/>
      <c r="O1037" s="147"/>
      <c r="P1037" s="147"/>
      <c r="Q1037" s="147"/>
      <c r="R1037" s="147"/>
      <c r="S1037" s="147"/>
      <c r="T1037" s="147"/>
      <c r="U1037" s="147"/>
      <c r="V1037" s="147"/>
      <c r="W1037" s="147"/>
      <c r="X1037" s="147"/>
      <c r="Y1037" s="146"/>
    </row>
    <row r="1038">
      <c r="A1038" s="146"/>
      <c r="B1038" s="147"/>
      <c r="C1038" s="147"/>
      <c r="D1038" s="148"/>
      <c r="E1038" s="147"/>
      <c r="F1038" s="147"/>
      <c r="G1038" s="147"/>
      <c r="H1038" s="146"/>
      <c r="I1038" s="147"/>
      <c r="J1038" s="147"/>
      <c r="K1038" s="147"/>
      <c r="L1038" s="147"/>
      <c r="M1038" s="147"/>
      <c r="N1038" s="147"/>
      <c r="O1038" s="147"/>
      <c r="P1038" s="147"/>
      <c r="Q1038" s="147"/>
      <c r="R1038" s="147"/>
      <c r="S1038" s="147"/>
      <c r="T1038" s="147"/>
      <c r="U1038" s="147"/>
      <c r="V1038" s="147"/>
      <c r="W1038" s="147"/>
      <c r="X1038" s="147"/>
      <c r="Y1038" s="146"/>
    </row>
    <row r="1039">
      <c r="A1039" s="146"/>
      <c r="B1039" s="147"/>
      <c r="C1039" s="147"/>
      <c r="D1039" s="148"/>
      <c r="E1039" s="147"/>
      <c r="F1039" s="147"/>
      <c r="G1039" s="147"/>
      <c r="H1039" s="146"/>
      <c r="I1039" s="147"/>
      <c r="J1039" s="147"/>
      <c r="K1039" s="147"/>
      <c r="L1039" s="147"/>
      <c r="M1039" s="147"/>
      <c r="N1039" s="147"/>
      <c r="O1039" s="147"/>
      <c r="P1039" s="147"/>
      <c r="Q1039" s="147"/>
      <c r="R1039" s="147"/>
      <c r="S1039" s="147"/>
      <c r="T1039" s="147"/>
      <c r="U1039" s="147"/>
      <c r="V1039" s="147"/>
      <c r="W1039" s="147"/>
      <c r="X1039" s="147"/>
      <c r="Y1039" s="146"/>
    </row>
    <row r="1040">
      <c r="A1040" s="146"/>
      <c r="B1040" s="147"/>
      <c r="C1040" s="147"/>
      <c r="D1040" s="148"/>
      <c r="E1040" s="147"/>
      <c r="F1040" s="147"/>
      <c r="G1040" s="147"/>
      <c r="H1040" s="146"/>
      <c r="I1040" s="147"/>
      <c r="J1040" s="147"/>
      <c r="K1040" s="147"/>
      <c r="L1040" s="147"/>
      <c r="M1040" s="147"/>
      <c r="N1040" s="147"/>
      <c r="O1040" s="147"/>
      <c r="P1040" s="147"/>
      <c r="Q1040" s="147"/>
      <c r="R1040" s="147"/>
      <c r="S1040" s="147"/>
      <c r="T1040" s="147"/>
      <c r="U1040" s="147"/>
      <c r="V1040" s="147"/>
      <c r="W1040" s="147"/>
      <c r="X1040" s="147"/>
      <c r="Y1040" s="146"/>
    </row>
    <row r="1041">
      <c r="A1041" s="146"/>
      <c r="B1041" s="147"/>
      <c r="C1041" s="147"/>
      <c r="D1041" s="148"/>
      <c r="E1041" s="147"/>
      <c r="F1041" s="147"/>
      <c r="G1041" s="147"/>
      <c r="H1041" s="146"/>
      <c r="I1041" s="147"/>
      <c r="J1041" s="147"/>
      <c r="K1041" s="147"/>
      <c r="L1041" s="147"/>
      <c r="M1041" s="147"/>
      <c r="N1041" s="147"/>
      <c r="O1041" s="147"/>
      <c r="P1041" s="147"/>
      <c r="Q1041" s="147"/>
      <c r="R1041" s="147"/>
      <c r="S1041" s="147"/>
      <c r="T1041" s="147"/>
      <c r="U1041" s="147"/>
      <c r="V1041" s="147"/>
      <c r="W1041" s="147"/>
      <c r="X1041" s="147"/>
      <c r="Y1041" s="146"/>
    </row>
    <row r="1042">
      <c r="A1042" s="146"/>
      <c r="B1042" s="147"/>
      <c r="C1042" s="147"/>
      <c r="D1042" s="148"/>
      <c r="E1042" s="147"/>
      <c r="F1042" s="147"/>
      <c r="G1042" s="147"/>
      <c r="H1042" s="146"/>
      <c r="I1042" s="147"/>
      <c r="J1042" s="147"/>
      <c r="K1042" s="147"/>
      <c r="L1042" s="147"/>
      <c r="M1042" s="147"/>
      <c r="N1042" s="147"/>
      <c r="O1042" s="147"/>
      <c r="P1042" s="147"/>
      <c r="Q1042" s="147"/>
      <c r="R1042" s="147"/>
      <c r="S1042" s="147"/>
      <c r="T1042" s="147"/>
      <c r="U1042" s="147"/>
      <c r="V1042" s="147"/>
      <c r="W1042" s="147"/>
      <c r="X1042" s="147"/>
      <c r="Y1042" s="146"/>
    </row>
    <row r="1043">
      <c r="A1043" s="146"/>
      <c r="B1043" s="147"/>
      <c r="C1043" s="147"/>
      <c r="D1043" s="148"/>
      <c r="E1043" s="147"/>
      <c r="F1043" s="147"/>
      <c r="G1043" s="147"/>
      <c r="H1043" s="146"/>
      <c r="I1043" s="147"/>
      <c r="J1043" s="147"/>
      <c r="K1043" s="147"/>
      <c r="L1043" s="147"/>
      <c r="M1043" s="147"/>
      <c r="N1043" s="147"/>
      <c r="O1043" s="147"/>
      <c r="P1043" s="147"/>
      <c r="Q1043" s="147"/>
      <c r="R1043" s="147"/>
      <c r="S1043" s="147"/>
      <c r="T1043" s="147"/>
      <c r="U1043" s="147"/>
      <c r="V1043" s="147"/>
      <c r="W1043" s="147"/>
      <c r="X1043" s="147"/>
      <c r="Y1043" s="146"/>
    </row>
    <row r="1044">
      <c r="A1044" s="146"/>
      <c r="B1044" s="147"/>
      <c r="C1044" s="147"/>
      <c r="D1044" s="148"/>
      <c r="E1044" s="147"/>
      <c r="F1044" s="147"/>
      <c r="G1044" s="147"/>
      <c r="H1044" s="146"/>
      <c r="I1044" s="147"/>
      <c r="J1044" s="147"/>
      <c r="K1044" s="147"/>
      <c r="L1044" s="147"/>
      <c r="M1044" s="147"/>
      <c r="N1044" s="147"/>
      <c r="O1044" s="147"/>
      <c r="P1044" s="147"/>
      <c r="Q1044" s="147"/>
      <c r="R1044" s="147"/>
      <c r="S1044" s="147"/>
      <c r="T1044" s="147"/>
      <c r="U1044" s="147"/>
      <c r="V1044" s="147"/>
      <c r="W1044" s="147"/>
      <c r="X1044" s="147"/>
      <c r="Y1044" s="146"/>
    </row>
    <row r="1045">
      <c r="A1045" s="146"/>
      <c r="B1045" s="147"/>
      <c r="C1045" s="147"/>
      <c r="D1045" s="148"/>
      <c r="E1045" s="147"/>
      <c r="F1045" s="147"/>
      <c r="G1045" s="147"/>
      <c r="H1045" s="146"/>
      <c r="I1045" s="147"/>
      <c r="J1045" s="147"/>
      <c r="K1045" s="147"/>
      <c r="L1045" s="147"/>
      <c r="M1045" s="147"/>
      <c r="N1045" s="147"/>
      <c r="O1045" s="147"/>
      <c r="P1045" s="147"/>
      <c r="Q1045" s="147"/>
      <c r="R1045" s="147"/>
      <c r="S1045" s="147"/>
      <c r="T1045" s="147"/>
      <c r="U1045" s="147"/>
      <c r="V1045" s="147"/>
      <c r="W1045" s="147"/>
      <c r="X1045" s="147"/>
      <c r="Y1045" s="146"/>
    </row>
  </sheetData>
  <conditionalFormatting sqref="H27:J27">
    <cfRule type="notContainsBlanks" dxfId="0" priority="1">
      <formula>LEN(TRIM(H27))&gt;0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F13"/>
    <hyperlink r:id="rId14" ref="D14"/>
    <hyperlink r:id="rId15" ref="F14"/>
    <hyperlink r:id="rId16" ref="D15"/>
    <hyperlink r:id="rId17" ref="F15"/>
    <hyperlink r:id="rId18" ref="D16"/>
    <hyperlink r:id="rId19" ref="F16"/>
    <hyperlink r:id="rId20" ref="D17"/>
    <hyperlink r:id="rId21" ref="F17"/>
    <hyperlink r:id="rId22" ref="D18"/>
    <hyperlink r:id="rId23" ref="D19"/>
    <hyperlink r:id="rId24" ref="D20"/>
    <hyperlink r:id="rId25" ref="F20"/>
    <hyperlink r:id="rId26" ref="D21"/>
    <hyperlink r:id="rId27" ref="D22"/>
    <hyperlink r:id="rId28" ref="D23"/>
    <hyperlink r:id="rId29" ref="D24"/>
    <hyperlink r:id="rId30" ref="D25"/>
    <hyperlink r:id="rId31" ref="D26"/>
    <hyperlink r:id="rId32" ref="D27"/>
    <hyperlink r:id="rId33" ref="D28"/>
    <hyperlink r:id="rId34" ref="D29"/>
    <hyperlink r:id="rId35" ref="D30"/>
    <hyperlink r:id="rId36" ref="D31"/>
    <hyperlink r:id="rId37" ref="D32"/>
    <hyperlink r:id="rId38" ref="D33"/>
    <hyperlink r:id="rId39" ref="F33"/>
    <hyperlink r:id="rId40" ref="D34"/>
    <hyperlink r:id="rId41" ref="D35"/>
    <hyperlink r:id="rId42" ref="D36"/>
    <hyperlink r:id="rId43" ref="D37"/>
    <hyperlink r:id="rId44" ref="D38"/>
    <hyperlink r:id="rId45" ref="D39"/>
    <hyperlink r:id="rId46" ref="D40"/>
    <hyperlink r:id="rId47" ref="D41"/>
    <hyperlink r:id="rId48" ref="F41"/>
    <hyperlink r:id="rId49" ref="D42"/>
    <hyperlink r:id="rId50" ref="F42"/>
    <hyperlink r:id="rId51" ref="D43"/>
    <hyperlink r:id="rId52" ref="F43"/>
    <hyperlink r:id="rId53" ref="D44"/>
    <hyperlink r:id="rId54" ref="F44"/>
    <hyperlink r:id="rId55" ref="D45"/>
    <hyperlink r:id="rId56" ref="F45"/>
    <hyperlink r:id="rId57" ref="D46"/>
    <hyperlink r:id="rId58" ref="F46"/>
    <hyperlink r:id="rId59" ref="D47"/>
    <hyperlink r:id="rId60" ref="D48"/>
    <hyperlink r:id="rId61" ref="D49"/>
    <hyperlink r:id="rId62" ref="D50"/>
    <hyperlink r:id="rId63" ref="D51"/>
    <hyperlink r:id="rId64" ref="H51"/>
    <hyperlink r:id="rId65" ref="D52"/>
    <hyperlink r:id="rId66" ref="D53"/>
    <hyperlink r:id="rId67" ref="F53"/>
    <hyperlink r:id="rId68" ref="D54"/>
    <hyperlink r:id="rId69" ref="F54"/>
    <hyperlink r:id="rId70" ref="D55"/>
    <hyperlink r:id="rId71" ref="D56"/>
    <hyperlink r:id="rId72" ref="F56"/>
    <hyperlink r:id="rId73" ref="D57"/>
    <hyperlink r:id="rId74" ref="D58"/>
  </hyperlinks>
  <drawing r:id="rId7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59.57"/>
    <col customWidth="1" min="2" max="2" width="11.29"/>
    <col customWidth="1" min="3" max="3" width="27.57"/>
    <col customWidth="1" min="4" max="4" width="48.29"/>
    <col customWidth="1" min="5" max="5" width="13.43"/>
    <col customWidth="1" min="6" max="6" width="24.86"/>
    <col customWidth="1" min="7" max="7" width="58.14"/>
    <col customWidth="1" min="8" max="8" width="66.71"/>
    <col customWidth="1" min="9" max="9" width="19.29"/>
    <col customWidth="1" min="10" max="10" width="125.0"/>
    <col customWidth="1" min="11" max="11" width="77.0"/>
    <col customWidth="1" min="12" max="12" width="19.0"/>
    <col customWidth="1" min="13" max="13" width="56.0"/>
    <col customWidth="1" min="14" max="14" width="50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3" width="13.0"/>
    <col customWidth="1" min="25" max="25" width="30.71"/>
  </cols>
  <sheetData>
    <row r="1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93" t="s">
        <v>10</v>
      </c>
      <c r="L1" s="149" t="s">
        <v>11</v>
      </c>
      <c r="M1" s="93" t="s">
        <v>12</v>
      </c>
      <c r="N1" s="93" t="s">
        <v>13</v>
      </c>
      <c r="O1" s="93" t="s">
        <v>14</v>
      </c>
      <c r="P1" s="93" t="s">
        <v>15</v>
      </c>
      <c r="Q1" s="93" t="s">
        <v>16</v>
      </c>
      <c r="R1" s="93" t="s">
        <v>17</v>
      </c>
      <c r="S1" s="93" t="s">
        <v>18</v>
      </c>
      <c r="T1" s="98" t="s">
        <v>19</v>
      </c>
      <c r="U1" s="100" t="s">
        <v>20</v>
      </c>
      <c r="V1" s="93" t="s">
        <v>21</v>
      </c>
      <c r="W1" s="93" t="s">
        <v>22</v>
      </c>
      <c r="X1" s="93" t="s">
        <v>23</v>
      </c>
      <c r="Y1" s="93" t="s">
        <v>24</v>
      </c>
      <c r="Z1" s="5"/>
      <c r="AA1" s="40"/>
    </row>
    <row r="2">
      <c r="A2" s="86" t="s">
        <v>1564</v>
      </c>
      <c r="B2" s="32" t="s">
        <v>1565</v>
      </c>
      <c r="C2" s="32" t="s">
        <v>3429</v>
      </c>
      <c r="D2" s="151" t="s">
        <v>1566</v>
      </c>
      <c r="E2" s="85" t="s">
        <v>1567</v>
      </c>
      <c r="F2" s="86" t="s">
        <v>1568</v>
      </c>
      <c r="G2" s="32" t="s">
        <v>1569</v>
      </c>
      <c r="H2" s="32" t="s">
        <v>1570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>
      <c r="A3" s="85" t="s">
        <v>1571</v>
      </c>
      <c r="B3" s="32" t="s">
        <v>1565</v>
      </c>
      <c r="C3" s="32" t="s">
        <v>3429</v>
      </c>
      <c r="D3" s="84"/>
      <c r="E3" s="85" t="s">
        <v>1572</v>
      </c>
      <c r="F3" s="85" t="s">
        <v>1573</v>
      </c>
      <c r="G3" s="85" t="s">
        <v>1574</v>
      </c>
      <c r="H3" s="85" t="s">
        <v>1575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152"/>
      <c r="AA3" s="152"/>
      <c r="AB3" s="152"/>
      <c r="AC3" s="152"/>
      <c r="AD3" s="152"/>
      <c r="AE3" s="152"/>
      <c r="AF3" s="152"/>
      <c r="AG3" s="152"/>
      <c r="AH3" s="152"/>
      <c r="AI3" s="152"/>
    </row>
    <row r="4">
      <c r="A4" s="153" t="s">
        <v>1576</v>
      </c>
      <c r="B4" s="32" t="s">
        <v>1565</v>
      </c>
      <c r="C4" s="32" t="s">
        <v>3232</v>
      </c>
      <c r="D4" s="151" t="s">
        <v>1577</v>
      </c>
      <c r="E4" s="85" t="s">
        <v>1578</v>
      </c>
      <c r="F4" s="86" t="s">
        <v>1579</v>
      </c>
      <c r="G4" s="32" t="s">
        <v>1580</v>
      </c>
      <c r="H4" s="85" t="s">
        <v>1581</v>
      </c>
      <c r="I4" s="32" t="s">
        <v>3467</v>
      </c>
      <c r="J4" s="32"/>
      <c r="K4" s="32"/>
      <c r="L4" s="32"/>
      <c r="M4" s="85" t="s">
        <v>1582</v>
      </c>
      <c r="N4" s="32" t="s">
        <v>412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>
      <c r="A5" s="85" t="s">
        <v>1583</v>
      </c>
      <c r="B5" s="32" t="s">
        <v>1565</v>
      </c>
      <c r="C5" s="32" t="s">
        <v>3468</v>
      </c>
      <c r="D5" s="151" t="s">
        <v>1584</v>
      </c>
      <c r="E5" s="85" t="s">
        <v>1585</v>
      </c>
      <c r="F5" s="86" t="s">
        <v>1586</v>
      </c>
      <c r="G5" s="85" t="s">
        <v>1587</v>
      </c>
      <c r="H5" s="85" t="s">
        <v>1588</v>
      </c>
      <c r="I5" s="32" t="s">
        <v>3469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>
      <c r="A6" s="85" t="s">
        <v>1591</v>
      </c>
      <c r="B6" s="32" t="s">
        <v>1565</v>
      </c>
      <c r="C6" s="32" t="s">
        <v>3435</v>
      </c>
      <c r="D6" s="151" t="s">
        <v>1592</v>
      </c>
      <c r="E6" s="85" t="s">
        <v>1593</v>
      </c>
      <c r="F6" s="86" t="s">
        <v>1594</v>
      </c>
      <c r="G6" s="85" t="s">
        <v>1595</v>
      </c>
      <c r="H6" s="85" t="s">
        <v>1596</v>
      </c>
      <c r="I6" s="32"/>
      <c r="J6" s="32"/>
      <c r="K6" s="32" t="s">
        <v>1282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152"/>
      <c r="AA6" s="152"/>
      <c r="AB6" s="152"/>
      <c r="AC6" s="152"/>
      <c r="AD6" s="152"/>
      <c r="AE6" s="152"/>
      <c r="AF6" s="152"/>
      <c r="AG6" s="152"/>
      <c r="AH6" s="152"/>
      <c r="AI6" s="152"/>
    </row>
    <row r="7">
      <c r="A7" s="85" t="s">
        <v>1597</v>
      </c>
      <c r="B7" s="32" t="s">
        <v>1565</v>
      </c>
      <c r="C7" s="32" t="s">
        <v>3435</v>
      </c>
      <c r="D7" s="84" t="s">
        <v>1598</v>
      </c>
      <c r="E7" s="85" t="s">
        <v>1599</v>
      </c>
      <c r="F7" s="86" t="s">
        <v>1600</v>
      </c>
      <c r="G7" s="85" t="s">
        <v>1601</v>
      </c>
      <c r="H7" s="85" t="s">
        <v>1602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152"/>
      <c r="AA7" s="152"/>
      <c r="AB7" s="152"/>
      <c r="AC7" s="152"/>
      <c r="AD7" s="152"/>
      <c r="AE7" s="152"/>
      <c r="AF7" s="152"/>
      <c r="AG7" s="152"/>
      <c r="AH7" s="152"/>
      <c r="AI7" s="152"/>
    </row>
    <row r="8">
      <c r="A8" s="89" t="s">
        <v>1603</v>
      </c>
      <c r="B8" s="32" t="s">
        <v>1565</v>
      </c>
      <c r="C8" s="32" t="s">
        <v>3438</v>
      </c>
      <c r="D8" s="84"/>
      <c r="E8" s="85" t="s">
        <v>1604</v>
      </c>
      <c r="F8" s="86" t="s">
        <v>1605</v>
      </c>
      <c r="G8" s="32" t="s">
        <v>1606</v>
      </c>
      <c r="H8" s="85" t="s">
        <v>1607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54"/>
      <c r="AA8" s="154"/>
      <c r="AB8" s="154"/>
      <c r="AC8" s="154"/>
      <c r="AD8" s="154"/>
      <c r="AE8" s="154"/>
      <c r="AF8" s="154"/>
      <c r="AG8" s="154"/>
      <c r="AH8" s="154"/>
      <c r="AI8" s="154"/>
    </row>
    <row r="9">
      <c r="A9" s="85" t="s">
        <v>1608</v>
      </c>
      <c r="B9" s="32" t="s">
        <v>1565</v>
      </c>
      <c r="C9" s="32" t="s">
        <v>3438</v>
      </c>
      <c r="D9" s="84"/>
      <c r="E9" s="85" t="s">
        <v>1609</v>
      </c>
      <c r="F9" s="86" t="s">
        <v>1610</v>
      </c>
      <c r="G9" s="85" t="s">
        <v>1611</v>
      </c>
      <c r="H9" s="85" t="s">
        <v>1612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154"/>
      <c r="AA9" s="154"/>
      <c r="AB9" s="154"/>
      <c r="AC9" s="154"/>
      <c r="AD9" s="154"/>
      <c r="AE9" s="154"/>
      <c r="AF9" s="154"/>
      <c r="AG9" s="154"/>
      <c r="AH9" s="154"/>
      <c r="AI9" s="154"/>
    </row>
    <row r="10">
      <c r="A10" s="85" t="s">
        <v>1613</v>
      </c>
      <c r="B10" s="32" t="s">
        <v>1565</v>
      </c>
      <c r="C10" s="32" t="s">
        <v>3438</v>
      </c>
      <c r="D10" s="84"/>
      <c r="E10" s="85" t="s">
        <v>1614</v>
      </c>
      <c r="F10" s="86" t="s">
        <v>1615</v>
      </c>
      <c r="G10" s="85" t="s">
        <v>1616</v>
      </c>
      <c r="H10" s="85" t="s">
        <v>1617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</row>
    <row r="11">
      <c r="A11" s="85" t="s">
        <v>1618</v>
      </c>
      <c r="B11" s="32" t="s">
        <v>1565</v>
      </c>
      <c r="C11" s="32" t="s">
        <v>3470</v>
      </c>
      <c r="D11" s="151" t="s">
        <v>1619</v>
      </c>
      <c r="E11" s="85" t="s">
        <v>1620</v>
      </c>
      <c r="F11" s="86" t="s">
        <v>1621</v>
      </c>
      <c r="G11" s="85" t="s">
        <v>1622</v>
      </c>
      <c r="H11" s="85" t="s">
        <v>1623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</row>
    <row r="12">
      <c r="A12" s="85" t="s">
        <v>1624</v>
      </c>
      <c r="B12" s="32" t="s">
        <v>1565</v>
      </c>
      <c r="C12" s="32" t="s">
        <v>3438</v>
      </c>
      <c r="D12" s="84"/>
      <c r="E12" s="85" t="s">
        <v>1625</v>
      </c>
      <c r="F12" s="85" t="s">
        <v>1626</v>
      </c>
      <c r="G12" s="85" t="s">
        <v>1627</v>
      </c>
      <c r="H12" s="85" t="s">
        <v>1628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</row>
    <row r="13">
      <c r="A13" s="89" t="s">
        <v>1629</v>
      </c>
      <c r="B13" s="32" t="s">
        <v>1565</v>
      </c>
      <c r="C13" s="32" t="s">
        <v>3438</v>
      </c>
      <c r="D13" s="84"/>
      <c r="E13" s="85" t="s">
        <v>1630</v>
      </c>
      <c r="F13" s="85" t="s">
        <v>1631</v>
      </c>
      <c r="G13" s="85" t="s">
        <v>1632</v>
      </c>
      <c r="H13" s="85" t="s">
        <v>1633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</row>
    <row r="14">
      <c r="A14" s="85" t="s">
        <v>1634</v>
      </c>
      <c r="B14" s="32" t="s">
        <v>1565</v>
      </c>
      <c r="C14" s="32" t="s">
        <v>3438</v>
      </c>
      <c r="D14" s="84"/>
      <c r="E14" s="85" t="s">
        <v>1635</v>
      </c>
      <c r="F14" s="86" t="s">
        <v>1636</v>
      </c>
      <c r="G14" s="85" t="s">
        <v>1637</v>
      </c>
      <c r="H14" s="85" t="s">
        <v>1638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</row>
    <row r="15">
      <c r="A15" s="85" t="s">
        <v>1639</v>
      </c>
      <c r="B15" s="32" t="s">
        <v>1565</v>
      </c>
      <c r="C15" s="32" t="s">
        <v>3438</v>
      </c>
      <c r="D15" s="84"/>
      <c r="E15" s="85" t="s">
        <v>1640</v>
      </c>
      <c r="F15" s="86" t="s">
        <v>1641</v>
      </c>
      <c r="G15" s="85" t="s">
        <v>1642</v>
      </c>
      <c r="H15" s="85" t="s">
        <v>1643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</row>
    <row r="16">
      <c r="A16" s="32" t="s">
        <v>1644</v>
      </c>
      <c r="B16" s="32" t="s">
        <v>1565</v>
      </c>
      <c r="C16" s="32" t="s">
        <v>3471</v>
      </c>
      <c r="D16" s="87" t="s">
        <v>1645</v>
      </c>
      <c r="E16" s="85" t="s">
        <v>1646</v>
      </c>
      <c r="F16" s="32" t="s">
        <v>1647</v>
      </c>
      <c r="G16" s="155" t="s">
        <v>1648</v>
      </c>
      <c r="H16" s="85" t="s">
        <v>1649</v>
      </c>
      <c r="I16" s="32" t="s">
        <v>3472</v>
      </c>
      <c r="J16" s="32" t="s">
        <v>3473</v>
      </c>
      <c r="K16" s="32" t="s">
        <v>3474</v>
      </c>
      <c r="L16" s="32" t="s">
        <v>1650</v>
      </c>
      <c r="M16" s="32" t="s">
        <v>1651</v>
      </c>
      <c r="N16" s="32" t="s">
        <v>3475</v>
      </c>
      <c r="O16" s="32"/>
      <c r="P16" s="32" t="s">
        <v>412</v>
      </c>
      <c r="Q16" s="32"/>
      <c r="R16" s="32" t="s">
        <v>412</v>
      </c>
      <c r="S16" s="32" t="s">
        <v>1652</v>
      </c>
      <c r="T16" s="32"/>
      <c r="U16" s="32" t="s">
        <v>1653</v>
      </c>
      <c r="V16" s="32" t="s">
        <v>412</v>
      </c>
      <c r="W16" s="32" t="s">
        <v>412</v>
      </c>
      <c r="X16" s="32" t="s">
        <v>1654</v>
      </c>
      <c r="Y16" s="32" t="s">
        <v>1653</v>
      </c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</row>
    <row r="17">
      <c r="A17" s="85" t="s">
        <v>1655</v>
      </c>
      <c r="B17" s="32" t="s">
        <v>1565</v>
      </c>
      <c r="C17" s="32" t="s">
        <v>3476</v>
      </c>
      <c r="D17" s="151" t="s">
        <v>1656</v>
      </c>
      <c r="E17" s="85" t="s">
        <v>1657</v>
      </c>
      <c r="F17" s="86" t="s">
        <v>1658</v>
      </c>
      <c r="G17" s="32" t="s">
        <v>1659</v>
      </c>
      <c r="H17" s="85" t="s">
        <v>1660</v>
      </c>
      <c r="I17" s="32"/>
      <c r="J17" s="32" t="s">
        <v>3477</v>
      </c>
      <c r="K17" s="85" t="s">
        <v>3478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</row>
    <row r="18">
      <c r="A18" s="85" t="s">
        <v>1661</v>
      </c>
      <c r="B18" s="32" t="s">
        <v>1565</v>
      </c>
      <c r="C18" s="32" t="s">
        <v>3479</v>
      </c>
      <c r="D18" s="84"/>
      <c r="E18" s="85">
        <v>7999500.0</v>
      </c>
      <c r="F18" s="85" t="s">
        <v>1663</v>
      </c>
      <c r="G18" s="32"/>
      <c r="H18" s="85" t="s">
        <v>1664</v>
      </c>
      <c r="I18" s="32"/>
      <c r="J18" s="85" t="s">
        <v>1668</v>
      </c>
      <c r="K18" s="32" t="s">
        <v>1918</v>
      </c>
      <c r="L18" s="32" t="s">
        <v>1665</v>
      </c>
      <c r="M18" s="32"/>
      <c r="N18" s="32"/>
      <c r="O18" s="32"/>
      <c r="P18" s="32"/>
      <c r="Q18" s="32"/>
      <c r="R18" s="32"/>
      <c r="S18" s="32"/>
      <c r="T18" s="32"/>
      <c r="U18" s="32"/>
      <c r="V18" s="32" t="s">
        <v>1666</v>
      </c>
      <c r="W18" s="32"/>
      <c r="X18" s="32" t="s">
        <v>1667</v>
      </c>
      <c r="Y18" s="3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</row>
    <row r="19">
      <c r="A19" s="85" t="s">
        <v>1669</v>
      </c>
      <c r="B19" s="32" t="s">
        <v>1565</v>
      </c>
      <c r="C19" s="32" t="s">
        <v>3480</v>
      </c>
      <c r="D19" s="84"/>
      <c r="E19" s="85">
        <v>5.8128219E7</v>
      </c>
      <c r="F19" s="85" t="s">
        <v>1670</v>
      </c>
      <c r="G19" s="32"/>
      <c r="H19" s="85" t="s">
        <v>1671</v>
      </c>
      <c r="I19" s="32"/>
      <c r="J19" s="85" t="s">
        <v>3481</v>
      </c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 t="s">
        <v>1666</v>
      </c>
      <c r="W19" s="32"/>
      <c r="X19" s="32" t="s">
        <v>1672</v>
      </c>
      <c r="Y19" s="3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</row>
    <row r="20">
      <c r="A20" s="85" t="s">
        <v>1673</v>
      </c>
      <c r="B20" s="32" t="s">
        <v>1565</v>
      </c>
      <c r="C20" s="32" t="s">
        <v>3482</v>
      </c>
      <c r="D20" s="84"/>
      <c r="E20" s="85">
        <v>7419139.0</v>
      </c>
      <c r="F20" s="85" t="s">
        <v>1674</v>
      </c>
      <c r="G20" s="32"/>
      <c r="H20" s="85" t="s">
        <v>1675</v>
      </c>
      <c r="I20" s="32"/>
      <c r="J20" s="85" t="s">
        <v>3483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 t="s">
        <v>1676</v>
      </c>
      <c r="Y20" s="3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</row>
    <row r="21">
      <c r="A21" s="85" t="s">
        <v>1677</v>
      </c>
      <c r="B21" s="32" t="s">
        <v>1565</v>
      </c>
      <c r="C21" s="32" t="s">
        <v>3484</v>
      </c>
      <c r="D21" s="84"/>
      <c r="E21" s="85">
        <v>5249190.0</v>
      </c>
      <c r="F21" s="85" t="s">
        <v>1663</v>
      </c>
      <c r="G21" s="32"/>
      <c r="H21" s="85" t="s">
        <v>1678</v>
      </c>
      <c r="I21" s="32"/>
      <c r="J21" s="85" t="s">
        <v>1679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</row>
    <row r="22">
      <c r="A22" s="85" t="s">
        <v>1680</v>
      </c>
      <c r="B22" s="32" t="s">
        <v>1565</v>
      </c>
      <c r="C22" s="32" t="s">
        <v>3485</v>
      </c>
      <c r="D22" s="84"/>
      <c r="E22" s="85">
        <v>7999511.0</v>
      </c>
      <c r="F22" s="85" t="s">
        <v>1663</v>
      </c>
      <c r="G22" s="32"/>
      <c r="H22" s="85" t="s">
        <v>1681</v>
      </c>
      <c r="I22" s="32"/>
      <c r="J22" s="32" t="s">
        <v>3486</v>
      </c>
      <c r="K22" s="32"/>
      <c r="L22" s="32" t="s">
        <v>1682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 t="s">
        <v>1683</v>
      </c>
      <c r="Y22" s="3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</row>
    <row r="23">
      <c r="A23" s="85" t="s">
        <v>1684</v>
      </c>
      <c r="B23" s="32" t="s">
        <v>1565</v>
      </c>
      <c r="C23" s="85" t="s">
        <v>1871</v>
      </c>
      <c r="D23" s="84"/>
      <c r="E23" s="85">
        <v>5249190.0</v>
      </c>
      <c r="F23" s="85" t="s">
        <v>1663</v>
      </c>
      <c r="G23" s="32"/>
      <c r="H23" s="85" t="s">
        <v>1685</v>
      </c>
      <c r="I23" s="32"/>
      <c r="J23" s="85" t="s">
        <v>3487</v>
      </c>
      <c r="K23" s="32" t="s">
        <v>3488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>
      <c r="A24" s="85" t="s">
        <v>1686</v>
      </c>
      <c r="B24" s="32" t="s">
        <v>1565</v>
      </c>
      <c r="C24" s="85" t="s">
        <v>1898</v>
      </c>
      <c r="D24" s="84"/>
      <c r="E24" s="85">
        <v>7952287.0</v>
      </c>
      <c r="F24" s="85" t="s">
        <v>1687</v>
      </c>
      <c r="G24" s="32"/>
      <c r="H24" s="85" t="s">
        <v>1685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 t="s">
        <v>1688</v>
      </c>
      <c r="W24" s="32"/>
      <c r="X24" s="32" t="s">
        <v>1676</v>
      </c>
      <c r="Y24" s="3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>
      <c r="A25" s="85" t="s">
        <v>1689</v>
      </c>
      <c r="B25" s="32" t="s">
        <v>1565</v>
      </c>
      <c r="C25" s="85" t="s">
        <v>3483</v>
      </c>
      <c r="D25" s="84"/>
      <c r="E25" s="85">
        <v>7952287.0</v>
      </c>
      <c r="F25" s="85" t="s">
        <v>1687</v>
      </c>
      <c r="G25" s="32"/>
      <c r="H25" s="85" t="s">
        <v>1685</v>
      </c>
      <c r="I25" s="32" t="s">
        <v>3489</v>
      </c>
      <c r="J25" s="85" t="s">
        <v>3490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 t="s">
        <v>1688</v>
      </c>
      <c r="W25" s="32"/>
      <c r="X25" s="32" t="s">
        <v>1676</v>
      </c>
      <c r="Y25" s="3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>
      <c r="A26" s="85" t="s">
        <v>1690</v>
      </c>
      <c r="B26" s="32" t="s">
        <v>1565</v>
      </c>
      <c r="C26" s="85" t="s">
        <v>3483</v>
      </c>
      <c r="D26" s="84"/>
      <c r="E26" s="32"/>
      <c r="F26" s="85" t="s">
        <v>1691</v>
      </c>
      <c r="G26" s="32"/>
      <c r="H26" s="85" t="s">
        <v>1692</v>
      </c>
      <c r="I26" s="32"/>
      <c r="J26" s="85" t="s">
        <v>3491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 t="s">
        <v>1667</v>
      </c>
      <c r="Y26" s="3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>
      <c r="A27" s="85" t="s">
        <v>1693</v>
      </c>
      <c r="B27" s="32" t="s">
        <v>1565</v>
      </c>
      <c r="C27" s="85" t="s">
        <v>1898</v>
      </c>
      <c r="D27" s="84"/>
      <c r="E27" s="85">
        <v>7999500.0</v>
      </c>
      <c r="F27" s="85" t="s">
        <v>1663</v>
      </c>
      <c r="G27" s="32"/>
      <c r="H27" s="85" t="s">
        <v>1694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 t="s">
        <v>1683</v>
      </c>
      <c r="Y27" s="3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>
      <c r="A28" s="85" t="s">
        <v>1695</v>
      </c>
      <c r="B28" s="32" t="s">
        <v>1565</v>
      </c>
      <c r="C28" s="85" t="s">
        <v>3492</v>
      </c>
      <c r="D28" s="84"/>
      <c r="E28" s="85">
        <v>5251225.0</v>
      </c>
      <c r="F28" s="85" t="s">
        <v>1696</v>
      </c>
      <c r="G28" s="32"/>
      <c r="H28" s="85" t="s">
        <v>1697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 t="s">
        <v>1676</v>
      </c>
      <c r="Y28" s="3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>
      <c r="A29" s="85" t="s">
        <v>1698</v>
      </c>
      <c r="B29" s="32" t="s">
        <v>1565</v>
      </c>
      <c r="C29" s="32" t="s">
        <v>3493</v>
      </c>
      <c r="D29" s="84"/>
      <c r="E29" s="85">
        <v>7961435.0</v>
      </c>
      <c r="F29" s="85" t="s">
        <v>1699</v>
      </c>
      <c r="G29" s="32"/>
      <c r="H29" s="85" t="s">
        <v>1700</v>
      </c>
      <c r="I29" s="32"/>
      <c r="J29" s="85" t="s">
        <v>1702</v>
      </c>
      <c r="K29" s="32"/>
      <c r="L29" s="32" t="s">
        <v>1701</v>
      </c>
      <c r="M29" s="32"/>
      <c r="N29" s="32"/>
      <c r="O29" s="32"/>
      <c r="P29" s="32"/>
      <c r="Q29" s="32"/>
      <c r="R29" s="32"/>
      <c r="S29" s="32"/>
      <c r="T29" s="32"/>
      <c r="U29" s="32"/>
      <c r="V29" s="32" t="s">
        <v>1688</v>
      </c>
      <c r="W29" s="32"/>
      <c r="X29" s="32" t="s">
        <v>1676</v>
      </c>
      <c r="Y29" s="3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>
      <c r="A30" s="85" t="s">
        <v>1703</v>
      </c>
      <c r="B30" s="32" t="s">
        <v>1565</v>
      </c>
      <c r="C30" s="32" t="s">
        <v>415</v>
      </c>
      <c r="D30" s="151" t="s">
        <v>1704</v>
      </c>
      <c r="E30" s="85">
        <v>7961435.0</v>
      </c>
      <c r="F30" s="85" t="s">
        <v>1699</v>
      </c>
      <c r="G30" s="32"/>
      <c r="H30" s="85" t="s">
        <v>1705</v>
      </c>
      <c r="I30" s="32"/>
      <c r="J30" s="85" t="s">
        <v>3494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</row>
    <row r="31">
      <c r="A31" s="85" t="s">
        <v>1707</v>
      </c>
      <c r="B31" s="32" t="s">
        <v>1565</v>
      </c>
      <c r="C31" s="85" t="s">
        <v>3483</v>
      </c>
      <c r="D31" s="151" t="s">
        <v>1704</v>
      </c>
      <c r="E31" s="85">
        <v>7961435.0</v>
      </c>
      <c r="F31" s="85" t="s">
        <v>1699</v>
      </c>
      <c r="G31" s="32"/>
      <c r="H31" s="85" t="s">
        <v>1700</v>
      </c>
      <c r="I31" s="32"/>
      <c r="J31" s="85" t="s">
        <v>3481</v>
      </c>
      <c r="K31" s="32" t="s">
        <v>3495</v>
      </c>
      <c r="L31" s="32" t="s">
        <v>1701</v>
      </c>
      <c r="M31" s="32"/>
      <c r="N31" s="32"/>
      <c r="O31" s="32"/>
      <c r="P31" s="32"/>
      <c r="Q31" s="32"/>
      <c r="R31" s="32"/>
      <c r="S31" s="32"/>
      <c r="T31" s="32"/>
      <c r="U31" s="32"/>
      <c r="V31" s="32" t="s">
        <v>1688</v>
      </c>
      <c r="W31" s="32"/>
      <c r="X31" s="32" t="s">
        <v>1676</v>
      </c>
      <c r="Y31" s="3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</row>
    <row r="32">
      <c r="A32" s="85" t="s">
        <v>1708</v>
      </c>
      <c r="B32" s="32" t="s">
        <v>1565</v>
      </c>
      <c r="C32" s="85" t="s">
        <v>3496</v>
      </c>
      <c r="D32" s="151" t="s">
        <v>1704</v>
      </c>
      <c r="E32" s="85">
        <v>7961435.0</v>
      </c>
      <c r="F32" s="85" t="s">
        <v>1699</v>
      </c>
      <c r="G32" s="32"/>
      <c r="H32" s="85" t="s">
        <v>1700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</row>
    <row r="33">
      <c r="A33" s="85" t="s">
        <v>1709</v>
      </c>
      <c r="B33" s="32" t="s">
        <v>1565</v>
      </c>
      <c r="C33" s="85" t="s">
        <v>3483</v>
      </c>
      <c r="D33" s="151" t="s">
        <v>1704</v>
      </c>
      <c r="E33" s="85">
        <v>7961435.0</v>
      </c>
      <c r="F33" s="85" t="s">
        <v>1699</v>
      </c>
      <c r="G33" s="32"/>
      <c r="H33" s="85" t="s">
        <v>1700</v>
      </c>
      <c r="I33" s="32" t="s">
        <v>3497</v>
      </c>
      <c r="J33" s="85" t="s">
        <v>3498</v>
      </c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 t="s">
        <v>1688</v>
      </c>
      <c r="W33" s="32"/>
      <c r="X33" s="32" t="s">
        <v>1676</v>
      </c>
      <c r="Y33" s="3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</row>
    <row r="34">
      <c r="A34" s="85" t="s">
        <v>1710</v>
      </c>
      <c r="B34" s="32" t="s">
        <v>1565</v>
      </c>
      <c r="C34" s="85" t="s">
        <v>1871</v>
      </c>
      <c r="D34" s="84"/>
      <c r="E34" s="85">
        <v>5249190.0</v>
      </c>
      <c r="F34" s="85" t="s">
        <v>1663</v>
      </c>
      <c r="G34" s="32"/>
      <c r="H34" s="85" t="s">
        <v>1711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>
      <c r="A35" s="85" t="s">
        <v>1712</v>
      </c>
      <c r="B35" s="32" t="s">
        <v>1565</v>
      </c>
      <c r="C35" s="85" t="s">
        <v>3483</v>
      </c>
      <c r="D35" s="84"/>
      <c r="E35" s="85">
        <v>7958313.0</v>
      </c>
      <c r="F35" s="32"/>
      <c r="G35" s="32"/>
      <c r="H35" s="85" t="s">
        <v>1711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 t="s">
        <v>1713</v>
      </c>
      <c r="Y35" s="3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</row>
    <row r="36">
      <c r="A36" s="85" t="s">
        <v>1714</v>
      </c>
      <c r="B36" s="32" t="s">
        <v>1565</v>
      </c>
      <c r="C36" s="85" t="s">
        <v>1898</v>
      </c>
      <c r="D36" s="84"/>
      <c r="E36" s="32">
        <v>7999500.0</v>
      </c>
      <c r="F36" s="85" t="s">
        <v>1663</v>
      </c>
      <c r="G36" s="32"/>
      <c r="H36" s="85" t="s">
        <v>1715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 t="s">
        <v>1688</v>
      </c>
      <c r="W36" s="32"/>
      <c r="X36" s="32" t="s">
        <v>1683</v>
      </c>
      <c r="Y36" s="3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</row>
    <row r="37">
      <c r="A37" s="32" t="s">
        <v>1716</v>
      </c>
      <c r="B37" s="32" t="s">
        <v>1565</v>
      </c>
      <c r="C37" s="32" t="s">
        <v>3499</v>
      </c>
      <c r="D37" s="87" t="s">
        <v>1717</v>
      </c>
      <c r="E37" s="85" t="s">
        <v>1718</v>
      </c>
      <c r="F37" s="32"/>
      <c r="G37" s="32"/>
      <c r="H37" s="85" t="s">
        <v>1719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>
      <c r="A38" s="86" t="s">
        <v>1720</v>
      </c>
      <c r="B38" s="32" t="s">
        <v>1565</v>
      </c>
      <c r="C38" s="32" t="s">
        <v>3500</v>
      </c>
      <c r="D38" s="87" t="s">
        <v>1721</v>
      </c>
      <c r="E38" s="85" t="s">
        <v>1722</v>
      </c>
      <c r="F38" s="86" t="s">
        <v>1723</v>
      </c>
      <c r="G38" s="85" t="s">
        <v>1724</v>
      </c>
      <c r="H38" s="85" t="s">
        <v>1725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</row>
    <row r="39">
      <c r="A39" s="32" t="s">
        <v>1726</v>
      </c>
      <c r="B39" s="32" t="s">
        <v>1565</v>
      </c>
      <c r="C39" s="32" t="s">
        <v>3460</v>
      </c>
      <c r="D39" s="8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</row>
    <row r="40">
      <c r="A40" s="85" t="s">
        <v>1727</v>
      </c>
      <c r="B40" s="32" t="s">
        <v>1565</v>
      </c>
      <c r="C40" s="32" t="s">
        <v>3460</v>
      </c>
      <c r="D40" s="84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</row>
    <row r="41">
      <c r="A41" s="85" t="s">
        <v>3501</v>
      </c>
      <c r="B41" s="32" t="s">
        <v>1565</v>
      </c>
      <c r="C41" s="32" t="s">
        <v>3418</v>
      </c>
      <c r="D41" s="84"/>
      <c r="E41" s="85">
        <v>5.6158776E7</v>
      </c>
      <c r="F41" s="86" t="s">
        <v>1729</v>
      </c>
      <c r="G41" s="85" t="s">
        <v>1730</v>
      </c>
      <c r="H41" s="85" t="s">
        <v>1731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</row>
    <row r="42">
      <c r="A42" s="85" t="s">
        <v>3502</v>
      </c>
      <c r="B42" s="32" t="s">
        <v>1565</v>
      </c>
      <c r="C42" s="32" t="s">
        <v>3418</v>
      </c>
      <c r="D42" s="151" t="s">
        <v>1733</v>
      </c>
      <c r="E42" s="85" t="s">
        <v>1734</v>
      </c>
      <c r="F42" s="86" t="s">
        <v>1735</v>
      </c>
      <c r="G42" s="85" t="s">
        <v>1736</v>
      </c>
      <c r="H42" s="85" t="s">
        <v>1737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</row>
    <row r="43">
      <c r="A43" s="152"/>
      <c r="B43" s="152"/>
      <c r="C43" s="152"/>
      <c r="D43" s="156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</row>
    <row r="44">
      <c r="A44" s="144"/>
      <c r="B44" s="144"/>
      <c r="C44" s="144"/>
      <c r="D44" s="126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</row>
    <row r="45">
      <c r="A45" s="144"/>
      <c r="B45" s="144"/>
      <c r="C45" s="144"/>
      <c r="D45" s="126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</row>
    <row r="46">
      <c r="A46" s="154"/>
      <c r="B46" s="154"/>
      <c r="C46" s="154"/>
      <c r="D46" s="156"/>
      <c r="E46" s="154"/>
      <c r="F46" s="154"/>
      <c r="G46" s="154"/>
      <c r="H46" s="157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</row>
    <row r="47">
      <c r="A47" s="154"/>
      <c r="B47" s="154"/>
      <c r="C47" s="154"/>
      <c r="D47" s="156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</row>
    <row r="48">
      <c r="A48" s="154"/>
      <c r="B48" s="154"/>
      <c r="C48" s="154"/>
      <c r="D48" s="156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</row>
    <row r="49">
      <c r="A49" s="154"/>
      <c r="B49" s="154"/>
      <c r="C49" s="154"/>
      <c r="D49" s="156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</row>
    <row r="50">
      <c r="A50" s="154"/>
      <c r="B50" s="154"/>
      <c r="C50" s="154"/>
      <c r="D50" s="156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</row>
    <row r="51">
      <c r="A51" s="154"/>
      <c r="B51" s="154"/>
      <c r="C51" s="154"/>
      <c r="D51" s="156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</row>
    <row r="52">
      <c r="A52" s="154"/>
      <c r="B52" s="154"/>
      <c r="C52" s="154"/>
      <c r="D52" s="156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</row>
    <row r="53">
      <c r="A53" s="154"/>
      <c r="B53" s="154"/>
      <c r="C53" s="154"/>
      <c r="D53" s="156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</row>
    <row r="54">
      <c r="A54" s="154"/>
      <c r="B54" s="154"/>
      <c r="C54" s="154"/>
      <c r="D54" s="156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</row>
    <row r="55">
      <c r="A55" s="154"/>
      <c r="B55" s="154"/>
      <c r="C55" s="154"/>
      <c r="D55" s="156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</row>
    <row r="56">
      <c r="A56" s="154"/>
      <c r="B56" s="154"/>
      <c r="C56" s="154"/>
      <c r="D56" s="156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</row>
    <row r="57">
      <c r="A57" s="154"/>
      <c r="B57" s="154"/>
      <c r="C57" s="154"/>
      <c r="D57" s="156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</row>
    <row r="58">
      <c r="A58" s="154"/>
      <c r="B58" s="154"/>
      <c r="C58" s="154"/>
      <c r="D58" s="156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</row>
    <row r="59">
      <c r="A59" s="154"/>
      <c r="B59" s="154"/>
      <c r="C59" s="154"/>
      <c r="D59" s="156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</row>
    <row r="60">
      <c r="A60" s="154"/>
      <c r="B60" s="154"/>
      <c r="C60" s="154"/>
      <c r="D60" s="156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  <row r="1001">
      <c r="D1001" s="126"/>
    </row>
    <row r="1002">
      <c r="D1002" s="126"/>
    </row>
    <row r="1003">
      <c r="D1003" s="126"/>
    </row>
    <row r="1004">
      <c r="D1004" s="126"/>
    </row>
    <row r="1005">
      <c r="D1005" s="126"/>
    </row>
    <row r="1006">
      <c r="D1006" s="126"/>
    </row>
    <row r="1007">
      <c r="D1007" s="126"/>
    </row>
    <row r="1008">
      <c r="D1008" s="126"/>
    </row>
    <row r="1009">
      <c r="D1009" s="126"/>
    </row>
    <row r="1010">
      <c r="D1010" s="126"/>
    </row>
    <row r="1011">
      <c r="D1011" s="126"/>
    </row>
    <row r="1012">
      <c r="D1012" s="126"/>
    </row>
  </sheetData>
  <hyperlinks>
    <hyperlink r:id="rId1" ref="A2"/>
    <hyperlink r:id="rId2" ref="D2"/>
    <hyperlink r:id="rId3" ref="F2"/>
    <hyperlink r:id="rId4" ref="D4"/>
    <hyperlink r:id="rId5" ref="F4"/>
    <hyperlink r:id="rId6" ref="D5"/>
    <hyperlink r:id="rId7" ref="F5"/>
    <hyperlink r:id="rId8" ref="D6"/>
    <hyperlink r:id="rId9" ref="F6"/>
    <hyperlink r:id="rId10" ref="F7"/>
    <hyperlink r:id="rId11" ref="A8"/>
    <hyperlink r:id="rId12" ref="F8"/>
    <hyperlink r:id="rId13" ref="F9"/>
    <hyperlink r:id="rId14" ref="F10"/>
    <hyperlink r:id="rId15" ref="D11"/>
    <hyperlink r:id="rId16" ref="F11"/>
    <hyperlink r:id="rId17" ref="A13"/>
    <hyperlink r:id="rId18" ref="F14"/>
    <hyperlink r:id="rId19" ref="F15"/>
    <hyperlink r:id="rId20" ref="D16"/>
    <hyperlink r:id="rId21" ref="D17"/>
    <hyperlink r:id="rId22" ref="F17"/>
    <hyperlink r:id="rId23" ref="D30"/>
    <hyperlink r:id="rId24" ref="D31"/>
    <hyperlink r:id="rId25" ref="D32"/>
    <hyperlink r:id="rId26" ref="D33"/>
    <hyperlink r:id="rId27" ref="D37"/>
    <hyperlink r:id="rId28" ref="A38"/>
    <hyperlink r:id="rId29" ref="D38"/>
    <hyperlink r:id="rId30" ref="F38"/>
    <hyperlink r:id="rId31" ref="F41"/>
    <hyperlink r:id="rId32" ref="D42"/>
    <hyperlink r:id="rId33" ref="F42"/>
  </hyperlinks>
  <drawing r:id="rId3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1.29"/>
    <col customWidth="1" min="3" max="3" width="24.14"/>
    <col customWidth="1" min="4" max="4" width="60.57"/>
    <col customWidth="1" min="5" max="5" width="20.71"/>
    <col customWidth="1" min="6" max="6" width="25.57"/>
    <col customWidth="1" min="7" max="7" width="27.0"/>
    <col customWidth="1" min="8" max="8" width="85.0"/>
    <col customWidth="1" min="9" max="9" width="17.86"/>
    <col customWidth="1" min="10" max="10" width="177.14"/>
    <col customWidth="1" min="11" max="11" width="30.29"/>
    <col customWidth="1" min="12" max="12" width="19.0"/>
    <col customWidth="1" min="13" max="13" width="17.29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3" width="13.0"/>
    <col customWidth="1" min="25" max="25" width="30.71"/>
  </cols>
  <sheetData>
    <row r="1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25</v>
      </c>
      <c r="G1" s="149" t="s">
        <v>6</v>
      </c>
      <c r="H1" s="149" t="s">
        <v>7</v>
      </c>
      <c r="I1" s="149" t="s">
        <v>8</v>
      </c>
      <c r="J1" s="149" t="s">
        <v>9</v>
      </c>
      <c r="K1" s="158" t="s">
        <v>10</v>
      </c>
      <c r="L1" s="149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  <c r="R1" s="158" t="s">
        <v>17</v>
      </c>
      <c r="S1" s="158" t="s">
        <v>18</v>
      </c>
      <c r="T1" s="98" t="s">
        <v>19</v>
      </c>
      <c r="U1" s="98" t="s">
        <v>20</v>
      </c>
      <c r="V1" s="93" t="s">
        <v>21</v>
      </c>
      <c r="W1" s="93" t="s">
        <v>22</v>
      </c>
      <c r="X1" s="93" t="s">
        <v>23</v>
      </c>
      <c r="Y1" s="93" t="s">
        <v>24</v>
      </c>
      <c r="Z1" s="5"/>
      <c r="AA1" s="40"/>
    </row>
    <row r="2">
      <c r="A2" s="95" t="s">
        <v>1738</v>
      </c>
      <c r="B2" s="20" t="s">
        <v>1739</v>
      </c>
      <c r="C2" s="20" t="s">
        <v>3503</v>
      </c>
      <c r="D2" s="84"/>
      <c r="E2" s="95" t="s">
        <v>1740</v>
      </c>
      <c r="F2" s="95" t="s">
        <v>1741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>
      <c r="A3" s="95" t="s">
        <v>1744</v>
      </c>
      <c r="B3" s="20" t="s">
        <v>1745</v>
      </c>
      <c r="C3" s="95" t="s">
        <v>3504</v>
      </c>
      <c r="D3" s="84"/>
      <c r="E3" s="95" t="s">
        <v>1746</v>
      </c>
      <c r="F3" s="95" t="s">
        <v>1747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152"/>
      <c r="AA3" s="152"/>
      <c r="AB3" s="152"/>
      <c r="AC3" s="152"/>
      <c r="AD3" s="152"/>
      <c r="AE3" s="152"/>
      <c r="AF3" s="152"/>
      <c r="AG3" s="152"/>
      <c r="AH3" s="152"/>
      <c r="AI3" s="152"/>
    </row>
    <row r="4">
      <c r="A4" s="159" t="s">
        <v>1748</v>
      </c>
      <c r="B4" s="20" t="s">
        <v>1739</v>
      </c>
      <c r="C4" s="20" t="s">
        <v>3429</v>
      </c>
      <c r="D4" s="84"/>
      <c r="E4" s="160" t="s">
        <v>1749</v>
      </c>
      <c r="F4" s="161" t="s">
        <v>1750</v>
      </c>
      <c r="G4" s="20"/>
      <c r="H4" s="162" t="s">
        <v>1751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461</v>
      </c>
      <c r="W4" s="20"/>
      <c r="X4" s="20"/>
      <c r="Y4" s="20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>
      <c r="A5" s="32" t="s">
        <v>3505</v>
      </c>
      <c r="B5" s="20" t="s">
        <v>1739</v>
      </c>
      <c r="C5" s="20" t="s">
        <v>3232</v>
      </c>
      <c r="D5" s="84"/>
      <c r="E5" s="163" t="s">
        <v>1753</v>
      </c>
      <c r="F5" s="163" t="s">
        <v>1754</v>
      </c>
      <c r="G5" s="20"/>
      <c r="H5" s="164" t="s">
        <v>1755</v>
      </c>
      <c r="I5" s="20" t="s">
        <v>3506</v>
      </c>
      <c r="J5" s="20" t="s">
        <v>3507</v>
      </c>
      <c r="K5" s="20" t="s">
        <v>1756</v>
      </c>
      <c r="L5" s="20" t="s">
        <v>3508</v>
      </c>
      <c r="M5" s="20" t="s">
        <v>1757</v>
      </c>
      <c r="N5" s="20" t="s">
        <v>412</v>
      </c>
      <c r="O5" s="20" t="s">
        <v>412</v>
      </c>
      <c r="P5" s="20" t="s">
        <v>412</v>
      </c>
      <c r="Q5" s="20" t="s">
        <v>1758</v>
      </c>
      <c r="R5" s="20" t="s">
        <v>412</v>
      </c>
      <c r="S5" s="20" t="s">
        <v>412</v>
      </c>
      <c r="T5" s="20"/>
      <c r="U5" s="20"/>
      <c r="V5" s="20" t="s">
        <v>412</v>
      </c>
      <c r="W5" s="20" t="s">
        <v>412</v>
      </c>
      <c r="X5" s="20" t="s">
        <v>412</v>
      </c>
      <c r="Y5" s="20" t="s">
        <v>1759</v>
      </c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>
      <c r="A6" s="20" t="s">
        <v>1760</v>
      </c>
      <c r="B6" s="20" t="s">
        <v>1739</v>
      </c>
      <c r="C6" s="20" t="s">
        <v>3458</v>
      </c>
      <c r="D6" s="87" t="s">
        <v>1761</v>
      </c>
      <c r="E6" s="165" t="s">
        <v>1762</v>
      </c>
      <c r="F6" s="165" t="s">
        <v>1763</v>
      </c>
      <c r="G6" s="20"/>
      <c r="H6" s="20"/>
      <c r="I6" s="20"/>
      <c r="J6" s="165" t="s">
        <v>3509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152"/>
      <c r="AA6" s="152"/>
      <c r="AB6" s="152"/>
      <c r="AC6" s="152"/>
      <c r="AD6" s="152"/>
      <c r="AE6" s="152"/>
      <c r="AF6" s="152"/>
      <c r="AG6" s="152"/>
      <c r="AH6" s="152"/>
      <c r="AI6" s="152"/>
    </row>
    <row r="7">
      <c r="A7" s="94" t="s">
        <v>1764</v>
      </c>
      <c r="B7" s="20" t="s">
        <v>1739</v>
      </c>
      <c r="C7" s="20" t="s">
        <v>3435</v>
      </c>
      <c r="D7" s="87" t="s">
        <v>1765</v>
      </c>
      <c r="E7" s="94" t="s">
        <v>1766</v>
      </c>
      <c r="F7" s="166" t="s">
        <v>1767</v>
      </c>
      <c r="G7" s="94" t="s">
        <v>1768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52"/>
      <c r="AA7" s="152"/>
      <c r="AB7" s="152"/>
      <c r="AC7" s="152"/>
      <c r="AD7" s="152"/>
      <c r="AE7" s="152"/>
      <c r="AF7" s="152"/>
      <c r="AG7" s="152"/>
      <c r="AH7" s="152"/>
      <c r="AI7" s="152"/>
    </row>
    <row r="8">
      <c r="A8" s="167" t="s">
        <v>1769</v>
      </c>
      <c r="B8" s="20" t="s">
        <v>1739</v>
      </c>
      <c r="C8" s="20" t="s">
        <v>3435</v>
      </c>
      <c r="D8" s="87" t="s">
        <v>1770</v>
      </c>
      <c r="E8" s="94" t="s">
        <v>1771</v>
      </c>
      <c r="F8" s="168" t="s">
        <v>1772</v>
      </c>
      <c r="G8" s="94" t="s">
        <v>1773</v>
      </c>
      <c r="H8" s="169" t="s">
        <v>1774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52"/>
      <c r="AA8" s="152"/>
      <c r="AB8" s="152"/>
      <c r="AC8" s="152"/>
      <c r="AD8" s="152"/>
      <c r="AE8" s="152"/>
      <c r="AF8" s="152"/>
      <c r="AG8" s="152"/>
      <c r="AH8" s="152"/>
      <c r="AI8" s="152"/>
    </row>
    <row r="9">
      <c r="A9" s="94" t="s">
        <v>1775</v>
      </c>
      <c r="B9" s="20" t="s">
        <v>1739</v>
      </c>
      <c r="C9" s="20" t="s">
        <v>3435</v>
      </c>
      <c r="D9" s="87" t="s">
        <v>1776</v>
      </c>
      <c r="E9" s="94" t="s">
        <v>1777</v>
      </c>
      <c r="F9" s="168" t="s">
        <v>1778</v>
      </c>
      <c r="G9" s="94" t="s">
        <v>1779</v>
      </c>
      <c r="H9" s="169" t="s">
        <v>1780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52"/>
      <c r="AA9" s="152"/>
      <c r="AB9" s="152"/>
      <c r="AC9" s="152"/>
      <c r="AD9" s="152"/>
      <c r="AE9" s="152"/>
      <c r="AF9" s="152"/>
      <c r="AG9" s="152"/>
      <c r="AH9" s="152"/>
      <c r="AI9" s="152"/>
    </row>
    <row r="10">
      <c r="A10" s="95" t="s">
        <v>1781</v>
      </c>
      <c r="B10" s="20" t="s">
        <v>1739</v>
      </c>
      <c r="C10" s="20" t="s">
        <v>3435</v>
      </c>
      <c r="D10" s="87" t="s">
        <v>1782</v>
      </c>
      <c r="E10" s="94" t="s">
        <v>1783</v>
      </c>
      <c r="F10" s="168" t="s">
        <v>1784</v>
      </c>
      <c r="G10" s="94" t="s">
        <v>1785</v>
      </c>
      <c r="H10" s="169" t="s">
        <v>1786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</row>
    <row r="11">
      <c r="A11" s="94" t="s">
        <v>1787</v>
      </c>
      <c r="B11" s="20" t="s">
        <v>1739</v>
      </c>
      <c r="C11" s="20" t="s">
        <v>3435</v>
      </c>
      <c r="D11" s="87" t="s">
        <v>1788</v>
      </c>
      <c r="E11" s="94" t="s">
        <v>1789</v>
      </c>
      <c r="F11" s="168" t="s">
        <v>1790</v>
      </c>
      <c r="G11" s="94" t="s">
        <v>1791</v>
      </c>
      <c r="H11" s="169" t="s">
        <v>1792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</row>
    <row r="12">
      <c r="A12" s="94" t="s">
        <v>1793</v>
      </c>
      <c r="B12" s="20" t="s">
        <v>1739</v>
      </c>
      <c r="C12" s="20" t="s">
        <v>3435</v>
      </c>
      <c r="D12" s="84"/>
      <c r="E12" s="94" t="s">
        <v>1794</v>
      </c>
      <c r="F12" s="168" t="s">
        <v>1795</v>
      </c>
      <c r="G12" s="94" t="s">
        <v>1796</v>
      </c>
      <c r="H12" s="169" t="s">
        <v>1797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</row>
    <row r="13">
      <c r="A13" s="159" t="s">
        <v>1798</v>
      </c>
      <c r="B13" s="20" t="s">
        <v>1739</v>
      </c>
      <c r="C13" s="20" t="s">
        <v>3470</v>
      </c>
      <c r="D13" s="87" t="s">
        <v>1799</v>
      </c>
      <c r="E13" s="95" t="s">
        <v>1800</v>
      </c>
      <c r="F13" s="159" t="s">
        <v>1801</v>
      </c>
      <c r="G13" s="95" t="s">
        <v>1802</v>
      </c>
      <c r="H13" s="170" t="s">
        <v>1803</v>
      </c>
      <c r="I13" s="20"/>
      <c r="J13" s="20" t="s">
        <v>3510</v>
      </c>
      <c r="K13" s="20"/>
      <c r="L13" s="20"/>
      <c r="M13" s="20"/>
      <c r="N13" s="20"/>
      <c r="O13" s="20"/>
      <c r="P13" s="20" t="s">
        <v>412</v>
      </c>
      <c r="Q13" s="20"/>
      <c r="R13" s="20" t="s">
        <v>412</v>
      </c>
      <c r="S13" s="20"/>
      <c r="T13" s="20"/>
      <c r="U13" s="20"/>
      <c r="V13" s="20" t="s">
        <v>1804</v>
      </c>
      <c r="W13" s="20" t="s">
        <v>412</v>
      </c>
      <c r="X13" s="20" t="s">
        <v>412</v>
      </c>
      <c r="Y13" s="20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</row>
    <row r="14">
      <c r="A14" s="95" t="s">
        <v>1805</v>
      </c>
      <c r="B14" s="20" t="s">
        <v>1739</v>
      </c>
      <c r="C14" s="20" t="s">
        <v>3511</v>
      </c>
      <c r="D14" s="84"/>
      <c r="E14" s="95" t="s">
        <v>1806</v>
      </c>
      <c r="F14" s="159" t="s">
        <v>1807</v>
      </c>
      <c r="G14" s="95" t="s">
        <v>1808</v>
      </c>
      <c r="H14" s="20" t="s">
        <v>1809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</row>
    <row r="15">
      <c r="A15" s="95" t="s">
        <v>1810</v>
      </c>
      <c r="B15" s="20" t="s">
        <v>1739</v>
      </c>
      <c r="C15" s="20" t="s">
        <v>3511</v>
      </c>
      <c r="D15" s="84"/>
      <c r="E15" s="95" t="s">
        <v>1811</v>
      </c>
      <c r="F15" s="159" t="s">
        <v>1812</v>
      </c>
      <c r="G15" s="95" t="s">
        <v>1813</v>
      </c>
      <c r="H15" s="20" t="s">
        <v>1814</v>
      </c>
      <c r="I15" s="171" t="s">
        <v>3512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</row>
    <row r="16">
      <c r="A16" s="95" t="s">
        <v>1815</v>
      </c>
      <c r="B16" s="20" t="s">
        <v>1739</v>
      </c>
      <c r="C16" s="20" t="s">
        <v>3511</v>
      </c>
      <c r="D16" s="84"/>
      <c r="E16" s="95" t="s">
        <v>1816</v>
      </c>
      <c r="F16" s="159" t="s">
        <v>1817</v>
      </c>
      <c r="G16" s="95" t="s">
        <v>1818</v>
      </c>
      <c r="H16" s="20" t="s">
        <v>1819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</row>
    <row r="17">
      <c r="A17" s="95" t="s">
        <v>1820</v>
      </c>
      <c r="B17" s="20" t="s">
        <v>1739</v>
      </c>
      <c r="C17" s="20" t="s">
        <v>3511</v>
      </c>
      <c r="D17" s="84"/>
      <c r="E17" s="95" t="s">
        <v>1821</v>
      </c>
      <c r="F17" s="159" t="s">
        <v>1822</v>
      </c>
      <c r="G17" s="95" t="s">
        <v>1823</v>
      </c>
      <c r="H17" s="20" t="s">
        <v>1824</v>
      </c>
      <c r="I17" s="20"/>
      <c r="J17" s="20" t="s">
        <v>412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>
      <c r="A18" s="95" t="s">
        <v>1825</v>
      </c>
      <c r="B18" s="20" t="s">
        <v>1739</v>
      </c>
      <c r="C18" s="20" t="s">
        <v>3511</v>
      </c>
      <c r="D18" s="84"/>
      <c r="E18" s="95" t="s">
        <v>1826</v>
      </c>
      <c r="F18" s="159" t="s">
        <v>1827</v>
      </c>
      <c r="G18" s="95" t="s">
        <v>1828</v>
      </c>
      <c r="H18" s="20" t="s">
        <v>1829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</row>
    <row r="19">
      <c r="A19" s="95" t="s">
        <v>1830</v>
      </c>
      <c r="B19" s="20" t="s">
        <v>1739</v>
      </c>
      <c r="C19" s="20" t="s">
        <v>3511</v>
      </c>
      <c r="D19" s="84"/>
      <c r="E19" s="95" t="s">
        <v>1831</v>
      </c>
      <c r="F19" s="159" t="s">
        <v>1832</v>
      </c>
      <c r="G19" s="95" t="s">
        <v>1833</v>
      </c>
      <c r="H19" s="20" t="s">
        <v>1834</v>
      </c>
      <c r="I19" s="20"/>
      <c r="J19" s="20"/>
      <c r="K19" s="20"/>
      <c r="L19" s="20"/>
      <c r="M19" s="20"/>
      <c r="N19" s="20"/>
      <c r="O19" s="20"/>
      <c r="P19" s="20" t="s">
        <v>412</v>
      </c>
      <c r="Q19" s="20"/>
      <c r="R19" s="20"/>
      <c r="S19" s="20"/>
      <c r="T19" s="20"/>
      <c r="U19" s="20"/>
      <c r="V19" s="20"/>
      <c r="W19" s="20"/>
      <c r="X19" s="20"/>
      <c r="Y19" s="20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</row>
    <row r="20">
      <c r="A20" s="95" t="s">
        <v>1835</v>
      </c>
      <c r="B20" s="20" t="s">
        <v>1739</v>
      </c>
      <c r="C20" s="20" t="s">
        <v>3511</v>
      </c>
      <c r="D20" s="84"/>
      <c r="E20" s="95" t="s">
        <v>1836</v>
      </c>
      <c r="F20" s="159" t="s">
        <v>1837</v>
      </c>
      <c r="G20" s="95" t="s">
        <v>1838</v>
      </c>
      <c r="H20" s="20" t="s">
        <v>1839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</row>
    <row r="21">
      <c r="A21" s="95" t="s">
        <v>1840</v>
      </c>
      <c r="B21" s="20" t="s">
        <v>1739</v>
      </c>
      <c r="C21" s="20" t="s">
        <v>3511</v>
      </c>
      <c r="D21" s="84"/>
      <c r="E21" s="95" t="s">
        <v>1841</v>
      </c>
      <c r="F21" s="159" t="s">
        <v>1842</v>
      </c>
      <c r="G21" s="95" t="s">
        <v>1843</v>
      </c>
      <c r="H21" s="20" t="s">
        <v>1844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</row>
    <row r="22">
      <c r="A22" s="95" t="s">
        <v>1845</v>
      </c>
      <c r="B22" s="20" t="s">
        <v>1739</v>
      </c>
      <c r="C22" s="20" t="s">
        <v>3511</v>
      </c>
      <c r="D22" s="84"/>
      <c r="E22" s="95" t="s">
        <v>1846</v>
      </c>
      <c r="F22" s="159" t="s">
        <v>1847</v>
      </c>
      <c r="G22" s="95" t="s">
        <v>1848</v>
      </c>
      <c r="H22" s="20" t="s">
        <v>1849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</row>
    <row r="23">
      <c r="A23" s="95" t="s">
        <v>1850</v>
      </c>
      <c r="B23" s="20" t="s">
        <v>1739</v>
      </c>
      <c r="C23" s="20" t="s">
        <v>3511</v>
      </c>
      <c r="D23" s="84"/>
      <c r="E23" s="95" t="s">
        <v>1851</v>
      </c>
      <c r="F23" s="159" t="s">
        <v>1852</v>
      </c>
      <c r="G23" s="95" t="s">
        <v>1853</v>
      </c>
      <c r="H23" s="20" t="s">
        <v>1854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>
      <c r="A24" s="159" t="s">
        <v>1855</v>
      </c>
      <c r="B24" s="20" t="s">
        <v>1739</v>
      </c>
      <c r="C24" s="20" t="s">
        <v>3511</v>
      </c>
      <c r="D24" s="84"/>
      <c r="E24" s="95" t="s">
        <v>1856</v>
      </c>
      <c r="F24" s="159" t="s">
        <v>1857</v>
      </c>
      <c r="G24" s="95" t="s">
        <v>1858</v>
      </c>
      <c r="H24" s="20" t="s">
        <v>1859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>
      <c r="A25" s="20" t="s">
        <v>1860</v>
      </c>
      <c r="B25" s="20" t="s">
        <v>1739</v>
      </c>
      <c r="C25" s="20" t="s">
        <v>3415</v>
      </c>
      <c r="D25" s="151" t="s">
        <v>1861</v>
      </c>
      <c r="E25" s="95">
        <v>5218540.0</v>
      </c>
      <c r="F25" s="95" t="s">
        <v>1862</v>
      </c>
      <c r="G25" s="20"/>
      <c r="H25" s="20" t="s">
        <v>1863</v>
      </c>
      <c r="I25" s="20"/>
      <c r="J25" s="20" t="s">
        <v>3513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 t="s">
        <v>1864</v>
      </c>
      <c r="Y25" s="20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>
      <c r="A26" s="20" t="s">
        <v>1865</v>
      </c>
      <c r="B26" s="20" t="s">
        <v>1739</v>
      </c>
      <c r="C26" s="20" t="s">
        <v>415</v>
      </c>
      <c r="D26" s="84"/>
      <c r="E26" s="95">
        <v>5218540.0</v>
      </c>
      <c r="F26" s="95" t="s">
        <v>1866</v>
      </c>
      <c r="G26" s="20"/>
      <c r="H26" s="20"/>
      <c r="I26" s="20"/>
      <c r="J26" s="20" t="s">
        <v>3514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 t="s">
        <v>1864</v>
      </c>
      <c r="Y26" s="20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>
      <c r="A27" s="95" t="s">
        <v>1867</v>
      </c>
      <c r="B27" s="20" t="s">
        <v>1739</v>
      </c>
      <c r="C27" s="20" t="s">
        <v>3479</v>
      </c>
      <c r="D27" s="84"/>
      <c r="E27" s="95"/>
      <c r="F27" s="95"/>
      <c r="G27" s="20"/>
      <c r="H27" s="20"/>
      <c r="I27" s="20"/>
      <c r="J27" s="20"/>
      <c r="K27" s="95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>
      <c r="A28" s="95" t="s">
        <v>1868</v>
      </c>
      <c r="B28" s="20" t="s">
        <v>1739</v>
      </c>
      <c r="C28" s="20" t="s">
        <v>3479</v>
      </c>
      <c r="D28" s="84"/>
      <c r="E28" s="95">
        <v>5036856.0</v>
      </c>
      <c r="F28" s="95" t="s">
        <v>1869</v>
      </c>
      <c r="G28" s="20"/>
      <c r="H28" s="20" t="s">
        <v>1870</v>
      </c>
      <c r="I28" s="20"/>
      <c r="J28" s="20"/>
      <c r="K28" s="95" t="s">
        <v>1871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 t="s">
        <v>1666</v>
      </c>
      <c r="W28" s="20"/>
      <c r="X28" s="20" t="s">
        <v>1676</v>
      </c>
      <c r="Y28" s="20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>
      <c r="A29" s="20" t="s">
        <v>1872</v>
      </c>
      <c r="B29" s="20" t="s">
        <v>1739</v>
      </c>
      <c r="C29" s="20" t="s">
        <v>3479</v>
      </c>
      <c r="D29" s="84"/>
      <c r="E29" s="95" t="s">
        <v>1821</v>
      </c>
      <c r="F29" s="95" t="s">
        <v>1873</v>
      </c>
      <c r="G29" s="20"/>
      <c r="H29" s="20" t="s">
        <v>1874</v>
      </c>
      <c r="I29" s="20"/>
      <c r="J29" s="20" t="s">
        <v>1875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s">
        <v>1666</v>
      </c>
      <c r="W29" s="20"/>
      <c r="X29" s="20" t="s">
        <v>1676</v>
      </c>
      <c r="Y29" s="20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>
      <c r="A30" s="95" t="s">
        <v>1876</v>
      </c>
      <c r="B30" s="20" t="s">
        <v>1739</v>
      </c>
      <c r="C30" s="20" t="s">
        <v>3479</v>
      </c>
      <c r="D30" s="84"/>
      <c r="E30" s="95">
        <v>7922336.0</v>
      </c>
      <c r="F30" s="95" t="s">
        <v>1873</v>
      </c>
      <c r="G30" s="20"/>
      <c r="H30" s="20" t="s">
        <v>1874</v>
      </c>
      <c r="I30" s="20"/>
      <c r="J30" s="20" t="s">
        <v>1877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 t="s">
        <v>1666</v>
      </c>
      <c r="W30" s="20"/>
      <c r="X30" s="20" t="s">
        <v>1676</v>
      </c>
      <c r="Y30" s="20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</row>
    <row r="31">
      <c r="A31" s="95" t="s">
        <v>1878</v>
      </c>
      <c r="B31" s="20" t="s">
        <v>1739</v>
      </c>
      <c r="C31" s="20" t="s">
        <v>3493</v>
      </c>
      <c r="D31" s="84"/>
      <c r="E31" s="95">
        <v>7999470.0</v>
      </c>
      <c r="F31" s="95" t="s">
        <v>1879</v>
      </c>
      <c r="G31" s="20"/>
      <c r="H31" s="20" t="s">
        <v>1874</v>
      </c>
      <c r="I31" s="20"/>
      <c r="J31" s="20" t="s">
        <v>1880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 t="s">
        <v>1666</v>
      </c>
      <c r="W31" s="20"/>
      <c r="X31" s="20" t="s">
        <v>1676</v>
      </c>
      <c r="Y31" s="20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</row>
    <row r="32">
      <c r="A32" s="95" t="s">
        <v>1881</v>
      </c>
      <c r="B32" s="20" t="s">
        <v>1739</v>
      </c>
      <c r="C32" s="20" t="s">
        <v>3479</v>
      </c>
      <c r="D32" s="84"/>
      <c r="E32" s="95">
        <v>5260490.0</v>
      </c>
      <c r="F32" s="95" t="s">
        <v>1882</v>
      </c>
      <c r="G32" s="20"/>
      <c r="H32" s="20" t="s">
        <v>1883</v>
      </c>
      <c r="I32" s="20"/>
      <c r="J32" s="20" t="s">
        <v>1884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 t="s">
        <v>1683</v>
      </c>
      <c r="Y32" s="20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</row>
    <row r="33">
      <c r="A33" s="95" t="s">
        <v>1885</v>
      </c>
      <c r="B33" s="20" t="s">
        <v>1739</v>
      </c>
      <c r="C33" s="20" t="s">
        <v>415</v>
      </c>
      <c r="D33" s="151" t="s">
        <v>1886</v>
      </c>
      <c r="E33" s="95" t="s">
        <v>1887</v>
      </c>
      <c r="F33" s="95" t="s">
        <v>1888</v>
      </c>
      <c r="G33" s="20"/>
      <c r="H33" s="20" t="s">
        <v>1889</v>
      </c>
      <c r="I33" s="20"/>
      <c r="J33" s="20" t="s">
        <v>3515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 t="s">
        <v>1666</v>
      </c>
      <c r="W33" s="20"/>
      <c r="X33" s="20" t="s">
        <v>1683</v>
      </c>
      <c r="Y33" s="20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</row>
    <row r="34">
      <c r="A34" s="95" t="s">
        <v>1891</v>
      </c>
      <c r="B34" s="20" t="s">
        <v>1739</v>
      </c>
      <c r="C34" s="20" t="s">
        <v>3479</v>
      </c>
      <c r="D34" s="84"/>
      <c r="E34" s="95">
        <v>7992222.0</v>
      </c>
      <c r="F34" s="20"/>
      <c r="G34" s="20"/>
      <c r="H34" s="20" t="s">
        <v>1892</v>
      </c>
      <c r="I34" s="20"/>
      <c r="J34" s="95" t="s">
        <v>1894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 t="s">
        <v>1666</v>
      </c>
      <c r="W34" s="20"/>
      <c r="X34" s="20" t="s">
        <v>1893</v>
      </c>
      <c r="Y34" s="20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>
      <c r="A35" s="95" t="s">
        <v>1895</v>
      </c>
      <c r="B35" s="20" t="s">
        <v>1739</v>
      </c>
      <c r="C35" s="20" t="s">
        <v>3479</v>
      </c>
      <c r="D35" s="84"/>
      <c r="E35" s="95" t="s">
        <v>1896</v>
      </c>
      <c r="F35" s="20"/>
      <c r="G35" s="20"/>
      <c r="H35" s="20" t="s">
        <v>1897</v>
      </c>
      <c r="I35" s="20"/>
      <c r="J35" s="20" t="s">
        <v>1898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</row>
    <row r="36">
      <c r="A36" s="95" t="s">
        <v>1899</v>
      </c>
      <c r="B36" s="20" t="s">
        <v>1739</v>
      </c>
      <c r="C36" s="20" t="s">
        <v>3516</v>
      </c>
      <c r="D36" s="151" t="s">
        <v>1900</v>
      </c>
      <c r="E36" s="95">
        <v>5.5945171E7</v>
      </c>
      <c r="F36" s="95" t="s">
        <v>1901</v>
      </c>
      <c r="G36" s="20"/>
      <c r="H36" s="95" t="s">
        <v>1902</v>
      </c>
      <c r="I36" s="20"/>
      <c r="J36" s="95" t="s">
        <v>3517</v>
      </c>
      <c r="K36" s="20" t="s">
        <v>3518</v>
      </c>
      <c r="L36" s="20" t="s">
        <v>3519</v>
      </c>
      <c r="M36" s="20" t="s">
        <v>3520</v>
      </c>
      <c r="N36" s="20"/>
      <c r="O36" s="20"/>
      <c r="P36" s="20"/>
      <c r="Q36" s="20"/>
      <c r="R36" s="20"/>
      <c r="S36" s="20"/>
      <c r="T36" s="20"/>
      <c r="U36" s="20"/>
      <c r="V36" s="20" t="s">
        <v>1666</v>
      </c>
      <c r="W36" s="20"/>
      <c r="X36" s="20" t="s">
        <v>1903</v>
      </c>
      <c r="Y36" s="20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</row>
    <row r="37">
      <c r="A37" s="95" t="s">
        <v>1905</v>
      </c>
      <c r="B37" s="20" t="s">
        <v>1739</v>
      </c>
      <c r="C37" s="20" t="s">
        <v>3479</v>
      </c>
      <c r="D37" s="84"/>
      <c r="E37" s="95">
        <v>5140331.0</v>
      </c>
      <c r="F37" s="95" t="s">
        <v>1906</v>
      </c>
      <c r="G37" s="20"/>
      <c r="H37" s="95" t="s">
        <v>1907</v>
      </c>
      <c r="I37" s="20"/>
      <c r="J37" s="95" t="s">
        <v>1898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 t="s">
        <v>1683</v>
      </c>
      <c r="Y37" s="20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>
      <c r="A38" s="95" t="s">
        <v>1908</v>
      </c>
      <c r="B38" s="20" t="s">
        <v>1739</v>
      </c>
      <c r="C38" s="20" t="s">
        <v>3479</v>
      </c>
      <c r="D38" s="84"/>
      <c r="E38" s="95">
        <v>5103720.0</v>
      </c>
      <c r="F38" s="95" t="s">
        <v>1909</v>
      </c>
      <c r="G38" s="20"/>
      <c r="H38" s="95" t="s">
        <v>1910</v>
      </c>
      <c r="I38" s="20"/>
      <c r="J38" s="95" t="s">
        <v>1911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1683</v>
      </c>
      <c r="Y38" s="20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</row>
    <row r="39">
      <c r="A39" s="95" t="s">
        <v>1912</v>
      </c>
      <c r="B39" s="20" t="s">
        <v>1739</v>
      </c>
      <c r="C39" s="20" t="s">
        <v>3521</v>
      </c>
      <c r="D39" s="151" t="s">
        <v>1913</v>
      </c>
      <c r="E39" s="95">
        <v>5160656.0</v>
      </c>
      <c r="F39" s="95" t="s">
        <v>1909</v>
      </c>
      <c r="G39" s="20"/>
      <c r="H39" s="95" t="s">
        <v>1910</v>
      </c>
      <c r="I39" s="20"/>
      <c r="J39" s="95" t="s">
        <v>3483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 t="s">
        <v>1683</v>
      </c>
      <c r="Y39" s="20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</row>
    <row r="40">
      <c r="A40" s="95" t="s">
        <v>1915</v>
      </c>
      <c r="B40" s="20" t="s">
        <v>1739</v>
      </c>
      <c r="C40" s="20" t="s">
        <v>3479</v>
      </c>
      <c r="D40" s="84"/>
      <c r="E40" s="95" t="s">
        <v>1831</v>
      </c>
      <c r="F40" s="95" t="s">
        <v>1916</v>
      </c>
      <c r="G40" s="20"/>
      <c r="H40" s="95" t="s">
        <v>1917</v>
      </c>
      <c r="I40" s="20"/>
      <c r="J40" s="20"/>
      <c r="K40" s="20" t="s">
        <v>1918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 t="s">
        <v>1919</v>
      </c>
      <c r="Y40" s="20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</row>
    <row r="41">
      <c r="A41" s="95" t="s">
        <v>1920</v>
      </c>
      <c r="B41" s="20" t="s">
        <v>1745</v>
      </c>
      <c r="C41" s="20" t="s">
        <v>3522</v>
      </c>
      <c r="D41" s="84"/>
      <c r="E41" s="95">
        <v>7992574.0</v>
      </c>
      <c r="F41" s="95" t="s">
        <v>1921</v>
      </c>
      <c r="G41" s="20"/>
      <c r="H41" s="95" t="s">
        <v>1922</v>
      </c>
      <c r="I41" s="20"/>
      <c r="J41" s="95" t="s">
        <v>3483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 t="s">
        <v>1923</v>
      </c>
      <c r="Y41" s="20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</row>
    <row r="42">
      <c r="A42" s="95" t="s">
        <v>1924</v>
      </c>
      <c r="B42" s="20" t="s">
        <v>1745</v>
      </c>
      <c r="C42" s="20" t="s">
        <v>415</v>
      </c>
      <c r="D42" s="151" t="s">
        <v>1925</v>
      </c>
      <c r="E42" s="95" t="s">
        <v>1926</v>
      </c>
      <c r="F42" s="95" t="s">
        <v>1927</v>
      </c>
      <c r="G42" s="20"/>
      <c r="H42" s="95" t="s">
        <v>1928</v>
      </c>
      <c r="I42" s="20"/>
      <c r="J42" s="20" t="s">
        <v>3523</v>
      </c>
      <c r="K42" s="20" t="s">
        <v>3524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 t="s">
        <v>1688</v>
      </c>
      <c r="W42" s="20"/>
      <c r="X42" s="20" t="s">
        <v>1893</v>
      </c>
      <c r="Y42" s="20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</row>
    <row r="43">
      <c r="A43" s="95" t="s">
        <v>1930</v>
      </c>
      <c r="B43" s="20" t="s">
        <v>1745</v>
      </c>
      <c r="C43" s="20" t="s">
        <v>3479</v>
      </c>
      <c r="D43" s="84"/>
      <c r="E43" s="95" t="s">
        <v>1931</v>
      </c>
      <c r="F43" s="95" t="s">
        <v>1932</v>
      </c>
      <c r="G43" s="20"/>
      <c r="H43" s="95" t="s">
        <v>1933</v>
      </c>
      <c r="I43" s="20"/>
      <c r="J43" s="95" t="s">
        <v>1934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 t="s">
        <v>1864</v>
      </c>
      <c r="Y43" s="20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</row>
    <row r="44">
      <c r="A44" s="95" t="s">
        <v>1935</v>
      </c>
      <c r="B44" s="20" t="s">
        <v>1745</v>
      </c>
      <c r="C44" s="20" t="s">
        <v>415</v>
      </c>
      <c r="D44" s="84"/>
      <c r="E44" s="95" t="s">
        <v>1936</v>
      </c>
      <c r="F44" s="95" t="s">
        <v>1937</v>
      </c>
      <c r="G44" s="20"/>
      <c r="H44" s="95" t="s">
        <v>1938</v>
      </c>
      <c r="I44" s="20"/>
      <c r="J44" s="95" t="s">
        <v>1939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 t="s">
        <v>1688</v>
      </c>
      <c r="W44" s="20"/>
      <c r="X44" s="20" t="s">
        <v>1919</v>
      </c>
      <c r="Y44" s="20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</row>
    <row r="45">
      <c r="A45" s="95" t="s">
        <v>1940</v>
      </c>
      <c r="B45" s="20" t="s">
        <v>1745</v>
      </c>
      <c r="C45" s="20" t="s">
        <v>3479</v>
      </c>
      <c r="D45" s="84"/>
      <c r="E45" s="20"/>
      <c r="F45" s="20"/>
      <c r="G45" s="20"/>
      <c r="H45" s="20"/>
      <c r="I45" s="20"/>
      <c r="J45" s="95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</row>
    <row r="46">
      <c r="A46" s="95" t="s">
        <v>1941</v>
      </c>
      <c r="B46" s="20" t="s">
        <v>1745</v>
      </c>
      <c r="C46" s="20" t="s">
        <v>3525</v>
      </c>
      <c r="D46" s="84"/>
      <c r="E46" s="95">
        <v>5109658.0</v>
      </c>
      <c r="F46" s="20"/>
      <c r="G46" s="20"/>
      <c r="H46" s="95" t="s">
        <v>1928</v>
      </c>
      <c r="I46" s="20"/>
      <c r="J46" s="95" t="s">
        <v>3526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1688</v>
      </c>
      <c r="W46" s="20"/>
      <c r="X46" s="20" t="s">
        <v>1919</v>
      </c>
      <c r="Y46" s="20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</row>
    <row r="47">
      <c r="A47" s="95" t="s">
        <v>1942</v>
      </c>
      <c r="B47" s="20" t="s">
        <v>1745</v>
      </c>
      <c r="C47" s="172" t="s">
        <v>3479</v>
      </c>
      <c r="D47" s="173"/>
      <c r="E47" s="95" t="s">
        <v>1943</v>
      </c>
      <c r="F47" s="95" t="s">
        <v>1932</v>
      </c>
      <c r="G47" s="172"/>
      <c r="H47" s="95" t="s">
        <v>1944</v>
      </c>
      <c r="I47" s="172"/>
      <c r="J47" s="95" t="s">
        <v>1945</v>
      </c>
      <c r="K47" s="20"/>
      <c r="L47" s="172"/>
      <c r="M47" s="20"/>
      <c r="N47" s="20"/>
      <c r="O47" s="20"/>
      <c r="P47" s="20"/>
      <c r="Q47" s="20"/>
      <c r="R47" s="20"/>
      <c r="S47" s="20"/>
      <c r="T47" s="174"/>
      <c r="U47" s="175"/>
      <c r="V47" s="20"/>
      <c r="W47" s="20"/>
      <c r="X47" s="20" t="s">
        <v>1672</v>
      </c>
      <c r="Y47" s="20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</row>
    <row r="48">
      <c r="A48" s="95" t="s">
        <v>1946</v>
      </c>
      <c r="B48" s="20" t="s">
        <v>1745</v>
      </c>
      <c r="C48" s="20" t="s">
        <v>3479</v>
      </c>
      <c r="D48" s="84"/>
      <c r="E48" s="95">
        <v>7999470.0</v>
      </c>
      <c r="F48" s="95" t="s">
        <v>1932</v>
      </c>
      <c r="G48" s="20"/>
      <c r="H48" s="95" t="s">
        <v>1944</v>
      </c>
      <c r="I48" s="20"/>
      <c r="J48" s="95" t="s">
        <v>1947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 t="s">
        <v>1672</v>
      </c>
      <c r="Y48" s="20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</row>
    <row r="49">
      <c r="A49" s="95" t="s">
        <v>1948</v>
      </c>
      <c r="B49" s="20" t="s">
        <v>1745</v>
      </c>
      <c r="C49" s="95" t="s">
        <v>3479</v>
      </c>
      <c r="D49" s="84"/>
      <c r="E49" s="95">
        <v>7999470.0</v>
      </c>
      <c r="F49" s="95" t="s">
        <v>1932</v>
      </c>
      <c r="G49" s="20"/>
      <c r="H49" s="95" t="s">
        <v>1949</v>
      </c>
      <c r="I49" s="20"/>
      <c r="J49" s="95" t="s">
        <v>1950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</row>
    <row r="50">
      <c r="A50" s="95" t="s">
        <v>1951</v>
      </c>
      <c r="B50" s="20" t="s">
        <v>1745</v>
      </c>
      <c r="C50" s="95" t="s">
        <v>3479</v>
      </c>
      <c r="D50" s="151" t="s">
        <v>1952</v>
      </c>
      <c r="E50" s="95" t="s">
        <v>1943</v>
      </c>
      <c r="F50" s="95" t="s">
        <v>1932</v>
      </c>
      <c r="G50" s="20"/>
      <c r="H50" s="95" t="s">
        <v>1949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 t="s">
        <v>1919</v>
      </c>
      <c r="Y50" s="20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</row>
    <row r="51">
      <c r="A51" s="95" t="s">
        <v>1953</v>
      </c>
      <c r="B51" s="20" t="s">
        <v>1745</v>
      </c>
      <c r="C51" s="20" t="s">
        <v>3479</v>
      </c>
      <c r="D51" s="151" t="s">
        <v>1954</v>
      </c>
      <c r="E51" s="95">
        <v>5178476.0</v>
      </c>
      <c r="F51" s="95" t="s">
        <v>1955</v>
      </c>
      <c r="G51" s="20"/>
      <c r="H51" s="95" t="s">
        <v>1956</v>
      </c>
      <c r="I51" s="20"/>
      <c r="J51" s="95" t="s">
        <v>1957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</row>
    <row r="52">
      <c r="A52" s="95" t="s">
        <v>1958</v>
      </c>
      <c r="B52" s="20" t="s">
        <v>1745</v>
      </c>
      <c r="C52" s="20" t="s">
        <v>3493</v>
      </c>
      <c r="D52" s="84"/>
      <c r="E52" s="95" t="s">
        <v>1959</v>
      </c>
      <c r="F52" s="95" t="s">
        <v>1932</v>
      </c>
      <c r="G52" s="20"/>
      <c r="H52" s="95" t="s">
        <v>1960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 t="s">
        <v>1919</v>
      </c>
      <c r="Y52" s="20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</row>
    <row r="53">
      <c r="A53" s="95" t="s">
        <v>1961</v>
      </c>
      <c r="B53" s="20" t="s">
        <v>1745</v>
      </c>
      <c r="C53" s="20" t="s">
        <v>3527</v>
      </c>
      <c r="D53" s="84"/>
      <c r="E53" s="95">
        <v>5.5945171E7</v>
      </c>
      <c r="F53" s="95" t="s">
        <v>1962</v>
      </c>
      <c r="G53" s="20"/>
      <c r="H53" s="95" t="s">
        <v>1963</v>
      </c>
      <c r="I53" s="20"/>
      <c r="J53" s="95" t="s">
        <v>3528</v>
      </c>
      <c r="K53" s="20" t="s">
        <v>3529</v>
      </c>
      <c r="L53" s="20" t="s">
        <v>3530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 t="s">
        <v>1676</v>
      </c>
      <c r="Y53" s="20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</row>
    <row r="54">
      <c r="A54" s="95" t="s">
        <v>1964</v>
      </c>
      <c r="B54" s="20" t="s">
        <v>1745</v>
      </c>
      <c r="C54" s="20" t="s">
        <v>3431</v>
      </c>
      <c r="D54" s="151" t="s">
        <v>1965</v>
      </c>
      <c r="E54" s="95" t="s">
        <v>1966</v>
      </c>
      <c r="F54" s="95" t="s">
        <v>1962</v>
      </c>
      <c r="G54" s="20"/>
      <c r="H54" s="95" t="s">
        <v>1967</v>
      </c>
      <c r="I54" s="20"/>
      <c r="J54" s="95" t="s">
        <v>3531</v>
      </c>
      <c r="K54" s="20" t="s">
        <v>3532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 t="s">
        <v>1688</v>
      </c>
      <c r="W54" s="20"/>
      <c r="X54" s="20" t="s">
        <v>1864</v>
      </c>
      <c r="Y54" s="20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</row>
    <row r="55">
      <c r="A55" s="95" t="s">
        <v>1969</v>
      </c>
      <c r="B55" s="20" t="s">
        <v>1745</v>
      </c>
      <c r="C55" s="20" t="s">
        <v>3479</v>
      </c>
      <c r="D55" s="84"/>
      <c r="E55" s="95">
        <v>5034977.0</v>
      </c>
      <c r="F55" s="95" t="s">
        <v>1970</v>
      </c>
      <c r="G55" s="20"/>
      <c r="H55" s="95" t="s">
        <v>1971</v>
      </c>
      <c r="I55" s="20"/>
      <c r="J55" s="95" t="s">
        <v>1973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 t="s">
        <v>1972</v>
      </c>
      <c r="Y55" s="20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</row>
    <row r="56">
      <c r="A56" s="159" t="s">
        <v>1974</v>
      </c>
      <c r="B56" s="20" t="s">
        <v>1739</v>
      </c>
      <c r="C56" s="20" t="s">
        <v>3479</v>
      </c>
      <c r="D56" s="84"/>
      <c r="E56" s="95">
        <v>5127999.0</v>
      </c>
      <c r="F56" s="20"/>
      <c r="G56" s="20"/>
      <c r="H56" s="95" t="s">
        <v>1975</v>
      </c>
      <c r="I56" s="20"/>
      <c r="J56" s="95" t="s">
        <v>1976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 t="s">
        <v>1667</v>
      </c>
      <c r="Y56" s="20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</row>
    <row r="57">
      <c r="A57" s="95" t="s">
        <v>1977</v>
      </c>
      <c r="B57" s="20" t="s">
        <v>1739</v>
      </c>
      <c r="C57" s="20" t="s">
        <v>3533</v>
      </c>
      <c r="D57" s="84"/>
      <c r="E57" s="20"/>
      <c r="F57" s="20"/>
      <c r="G57" s="20"/>
      <c r="H57" s="95" t="s">
        <v>1978</v>
      </c>
      <c r="I57" s="20"/>
      <c r="J57" s="95" t="s">
        <v>3534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</row>
    <row r="58">
      <c r="A58" s="95" t="s">
        <v>1980</v>
      </c>
      <c r="B58" s="20" t="s">
        <v>1739</v>
      </c>
      <c r="C58" s="95" t="s">
        <v>3483</v>
      </c>
      <c r="D58" s="151" t="s">
        <v>1981</v>
      </c>
      <c r="E58" s="95">
        <v>7929341.0</v>
      </c>
      <c r="F58" s="95" t="s">
        <v>1982</v>
      </c>
      <c r="G58" s="20"/>
      <c r="H58" s="95" t="s">
        <v>1983</v>
      </c>
      <c r="I58" s="20"/>
      <c r="J58" s="95" t="s">
        <v>3535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 t="s">
        <v>1688</v>
      </c>
      <c r="W58" s="20"/>
      <c r="X58" s="20" t="s">
        <v>1676</v>
      </c>
      <c r="Y58" s="20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</row>
    <row r="59">
      <c r="A59" s="95" t="s">
        <v>1984</v>
      </c>
      <c r="B59" s="20" t="s">
        <v>1739</v>
      </c>
      <c r="C59" s="20" t="s">
        <v>3536</v>
      </c>
      <c r="D59" s="176"/>
      <c r="E59" s="95">
        <v>5.3541519E7</v>
      </c>
      <c r="F59" s="95" t="s">
        <v>1985</v>
      </c>
      <c r="G59" s="20"/>
      <c r="H59" s="95" t="s">
        <v>1986</v>
      </c>
      <c r="I59" s="20"/>
      <c r="J59" s="20"/>
      <c r="K59" s="20" t="s">
        <v>3537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 t="s">
        <v>1688</v>
      </c>
      <c r="W59" s="20"/>
      <c r="X59" s="20" t="s">
        <v>1987</v>
      </c>
      <c r="Y59" s="20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>
      <c r="A60" s="95" t="s">
        <v>1988</v>
      </c>
      <c r="B60" s="20" t="s">
        <v>1739</v>
      </c>
      <c r="C60" s="20" t="s">
        <v>3536</v>
      </c>
      <c r="D60" s="176"/>
      <c r="E60" s="95" t="s">
        <v>1989</v>
      </c>
      <c r="F60" s="95" t="s">
        <v>1990</v>
      </c>
      <c r="G60" s="20"/>
      <c r="H60" s="95" t="s">
        <v>1991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 t="s">
        <v>1683</v>
      </c>
      <c r="Y60" s="20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</row>
    <row r="61">
      <c r="A61" s="95" t="s">
        <v>1992</v>
      </c>
      <c r="B61" s="20" t="s">
        <v>1739</v>
      </c>
      <c r="C61" s="95" t="s">
        <v>3483</v>
      </c>
      <c r="D61" s="151" t="s">
        <v>1993</v>
      </c>
      <c r="E61" s="95" t="s">
        <v>1989</v>
      </c>
      <c r="F61" s="95" t="s">
        <v>1990</v>
      </c>
      <c r="G61" s="20"/>
      <c r="H61" s="95" t="s">
        <v>1994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 t="s">
        <v>1676</v>
      </c>
      <c r="Y61" s="20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</row>
    <row r="62">
      <c r="A62" s="20" t="s">
        <v>1995</v>
      </c>
      <c r="B62" s="20" t="s">
        <v>1739</v>
      </c>
      <c r="C62" s="95" t="s">
        <v>3460</v>
      </c>
      <c r="D62" s="151" t="s">
        <v>1996</v>
      </c>
      <c r="E62" s="95" t="s">
        <v>1997</v>
      </c>
      <c r="F62" s="95" t="s">
        <v>1998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</row>
    <row r="63">
      <c r="A63" s="159" t="s">
        <v>1999</v>
      </c>
      <c r="B63" s="20" t="s">
        <v>1739</v>
      </c>
      <c r="C63" s="20" t="s">
        <v>3538</v>
      </c>
      <c r="D63" s="87" t="s">
        <v>2000</v>
      </c>
      <c r="E63" s="95" t="s">
        <v>2001</v>
      </c>
      <c r="F63" s="159" t="s">
        <v>2002</v>
      </c>
      <c r="G63" s="95" t="s">
        <v>2003</v>
      </c>
      <c r="H63" s="95" t="s">
        <v>2004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</row>
    <row r="64">
      <c r="A64" s="20" t="s">
        <v>2005</v>
      </c>
      <c r="B64" s="32" t="s">
        <v>1739</v>
      </c>
      <c r="C64" s="20"/>
      <c r="D64" s="151" t="s">
        <v>2007</v>
      </c>
      <c r="E64" s="95" t="s">
        <v>2008</v>
      </c>
      <c r="F64" s="95" t="s">
        <v>2009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</row>
    <row r="65">
      <c r="A65" s="20" t="s">
        <v>2010</v>
      </c>
      <c r="B65" s="32" t="s">
        <v>1739</v>
      </c>
      <c r="C65" s="20" t="s">
        <v>3443</v>
      </c>
      <c r="D65" s="87" t="s">
        <v>2011</v>
      </c>
      <c r="E65" s="20" t="s">
        <v>2012</v>
      </c>
      <c r="F65" s="20" t="s">
        <v>2013</v>
      </c>
      <c r="G65" s="95" t="s">
        <v>2014</v>
      </c>
      <c r="H65" s="20" t="s">
        <v>2015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</row>
    <row r="66">
      <c r="A66" s="168" t="s">
        <v>2016</v>
      </c>
      <c r="B66" s="32" t="s">
        <v>1739</v>
      </c>
      <c r="C66" s="32" t="s">
        <v>3418</v>
      </c>
      <c r="D66" s="84"/>
      <c r="E66" s="94" t="s">
        <v>2017</v>
      </c>
      <c r="F66" s="94" t="s">
        <v>2018</v>
      </c>
      <c r="G66" s="94" t="s">
        <v>2019</v>
      </c>
      <c r="H66" s="94" t="s">
        <v>2020</v>
      </c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</row>
    <row r="67">
      <c r="A67" s="168" t="s">
        <v>2021</v>
      </c>
      <c r="B67" s="32" t="s">
        <v>1739</v>
      </c>
      <c r="C67" s="32" t="s">
        <v>3418</v>
      </c>
      <c r="D67" s="84"/>
      <c r="E67" s="94" t="s">
        <v>2022</v>
      </c>
      <c r="F67" s="94" t="s">
        <v>2023</v>
      </c>
      <c r="G67" s="94" t="s">
        <v>2024</v>
      </c>
      <c r="H67" s="94" t="s">
        <v>2025</v>
      </c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</row>
    <row r="68">
      <c r="A68" s="168" t="s">
        <v>2026</v>
      </c>
      <c r="B68" s="32" t="s">
        <v>1739</v>
      </c>
      <c r="C68" s="32" t="s">
        <v>3418</v>
      </c>
      <c r="D68" s="84"/>
      <c r="E68" s="94" t="s">
        <v>2027</v>
      </c>
      <c r="F68" s="94" t="s">
        <v>2028</v>
      </c>
      <c r="G68" s="94" t="s">
        <v>2029</v>
      </c>
      <c r="H68" s="94" t="s">
        <v>2030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</row>
    <row r="69">
      <c r="A69" s="168" t="s">
        <v>2031</v>
      </c>
      <c r="B69" s="32" t="s">
        <v>1739</v>
      </c>
      <c r="C69" s="32" t="s">
        <v>3418</v>
      </c>
      <c r="D69" s="84"/>
      <c r="E69" s="32"/>
      <c r="F69" s="32"/>
      <c r="G69" s="32" t="s">
        <v>2032</v>
      </c>
      <c r="H69" s="94" t="s">
        <v>2033</v>
      </c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</row>
    <row r="70">
      <c r="A70" s="94" t="s">
        <v>2034</v>
      </c>
      <c r="B70" s="32" t="s">
        <v>1739</v>
      </c>
      <c r="C70" s="32" t="s">
        <v>3418</v>
      </c>
      <c r="D70" s="84"/>
      <c r="E70" s="94" t="s">
        <v>2035</v>
      </c>
      <c r="F70" s="94" t="s">
        <v>2036</v>
      </c>
      <c r="G70" s="94" t="s">
        <v>2037</v>
      </c>
      <c r="H70" s="94" t="s">
        <v>2038</v>
      </c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</row>
    <row r="71">
      <c r="A71" s="162" t="s">
        <v>2039</v>
      </c>
      <c r="B71" s="20" t="s">
        <v>1739</v>
      </c>
      <c r="C71" s="20" t="s">
        <v>3418</v>
      </c>
      <c r="D71" s="84"/>
      <c r="E71" s="95" t="s">
        <v>2040</v>
      </c>
      <c r="F71" s="20"/>
      <c r="G71" s="95" t="s">
        <v>2041</v>
      </c>
      <c r="H71" s="95" t="s">
        <v>2042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</sheetData>
  <hyperlinks>
    <hyperlink r:id="rId1" ref="A4"/>
    <hyperlink r:id="rId2" ref="F4"/>
    <hyperlink r:id="rId3" ref="H4"/>
    <hyperlink r:id="rId4" ref="D6"/>
    <hyperlink r:id="rId5" ref="D7"/>
    <hyperlink r:id="rId6" ref="F7"/>
    <hyperlink r:id="rId7" ref="D8"/>
    <hyperlink r:id="rId8" ref="F8"/>
    <hyperlink r:id="rId9" ref="D9"/>
    <hyperlink r:id="rId10" ref="F9"/>
    <hyperlink r:id="rId11" ref="D10"/>
    <hyperlink r:id="rId12" ref="F10"/>
    <hyperlink r:id="rId13" ref="D11"/>
    <hyperlink r:id="rId14" ref="F11"/>
    <hyperlink r:id="rId15" ref="F12"/>
    <hyperlink r:id="rId16" ref="A13"/>
    <hyperlink r:id="rId17" ref="D13"/>
    <hyperlink r:id="rId18" ref="F13"/>
    <hyperlink r:id="rId19" ref="F14"/>
    <hyperlink r:id="rId20" ref="F15"/>
    <hyperlink r:id="rId21" ref="F16"/>
    <hyperlink r:id="rId22" ref="F17"/>
    <hyperlink r:id="rId23" ref="F18"/>
    <hyperlink r:id="rId24" ref="F19"/>
    <hyperlink r:id="rId25" ref="F20"/>
    <hyperlink r:id="rId26" ref="F21"/>
    <hyperlink r:id="rId27" ref="F22"/>
    <hyperlink r:id="rId28" ref="F23"/>
    <hyperlink r:id="rId29" ref="A24"/>
    <hyperlink r:id="rId30" ref="F24"/>
    <hyperlink r:id="rId31" ref="D25"/>
    <hyperlink r:id="rId32" ref="D33"/>
    <hyperlink r:id="rId33" ref="D36"/>
    <hyperlink r:id="rId34" ref="D39"/>
    <hyperlink r:id="rId35" ref="D42"/>
    <hyperlink r:id="rId36" ref="D50"/>
    <hyperlink r:id="rId37" ref="D51"/>
    <hyperlink r:id="rId38" ref="D54"/>
    <hyperlink r:id="rId39" ref="A56"/>
    <hyperlink r:id="rId40" ref="D58"/>
    <hyperlink r:id="rId41" ref="D61"/>
    <hyperlink r:id="rId42" ref="D62"/>
    <hyperlink r:id="rId43" ref="A63"/>
    <hyperlink r:id="rId44" ref="D63"/>
    <hyperlink r:id="rId45" ref="F63"/>
    <hyperlink r:id="rId46" ref="D64"/>
    <hyperlink r:id="rId47" ref="D65"/>
    <hyperlink r:id="rId48" ref="A66"/>
    <hyperlink r:id="rId49" ref="A67"/>
    <hyperlink r:id="rId50" ref="A68"/>
    <hyperlink r:id="rId51" ref="A69"/>
    <hyperlink r:id="rId52" ref="A71"/>
  </hyperlinks>
  <drawing r:id="rId5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29"/>
    <col customWidth="1" min="3" max="3" width="20.14"/>
    <col customWidth="1" min="4" max="4" width="42.14"/>
    <col customWidth="1" min="5" max="5" width="18.71"/>
    <col customWidth="1" min="6" max="6" width="30.29"/>
    <col customWidth="1" min="7" max="7" width="24.0"/>
    <col customWidth="1" min="8" max="8" width="53.29"/>
    <col customWidth="1" min="9" max="9" width="17.86"/>
    <col customWidth="1" min="10" max="10" width="117.71"/>
    <col customWidth="1" min="11" max="11" width="19.29"/>
    <col customWidth="1" min="12" max="12" width="100.43"/>
    <col customWidth="1" min="13" max="13" width="17.14"/>
    <col customWidth="1" min="14" max="14" width="22.0"/>
    <col customWidth="1" min="15" max="15" width="24.14"/>
    <col customWidth="1" min="16" max="16" width="70.71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61.14"/>
    <col customWidth="1" min="22" max="22" width="15.29"/>
    <col customWidth="1" min="23" max="23" width="13.0"/>
    <col customWidth="1" min="24" max="24" width="85.0"/>
    <col customWidth="1" min="25" max="25" width="30.71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9" t="s">
        <v>10</v>
      </c>
      <c r="L1" s="81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77" t="s">
        <v>19</v>
      </c>
      <c r="U1" s="17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3"/>
      <c r="AA1" s="40"/>
    </row>
    <row r="2">
      <c r="A2" s="95" t="s">
        <v>2043</v>
      </c>
      <c r="B2" s="20" t="s">
        <v>2050</v>
      </c>
      <c r="C2" s="95" t="s">
        <v>3539</v>
      </c>
      <c r="D2" s="84"/>
      <c r="E2" s="95" t="s">
        <v>2045</v>
      </c>
      <c r="F2" s="95" t="s">
        <v>2046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>
      <c r="A3" s="159" t="s">
        <v>2049</v>
      </c>
      <c r="B3" s="20" t="s">
        <v>2050</v>
      </c>
      <c r="C3" s="20" t="s">
        <v>3540</v>
      </c>
      <c r="D3" s="87" t="s">
        <v>2051</v>
      </c>
      <c r="E3" s="20" t="s">
        <v>2052</v>
      </c>
      <c r="F3" s="162" t="s">
        <v>2053</v>
      </c>
      <c r="G3" s="20" t="s">
        <v>2054</v>
      </c>
      <c r="H3" s="20" t="s">
        <v>2055</v>
      </c>
      <c r="I3" s="20"/>
      <c r="J3" s="95" t="s">
        <v>3541</v>
      </c>
      <c r="K3" s="20"/>
      <c r="L3" s="20"/>
      <c r="M3" s="20"/>
      <c r="N3" s="20"/>
      <c r="O3" s="20"/>
      <c r="P3" s="20"/>
      <c r="Q3" s="20"/>
      <c r="R3" s="20" t="s">
        <v>3542</v>
      </c>
      <c r="S3" s="20" t="s">
        <v>412</v>
      </c>
      <c r="T3" s="20"/>
      <c r="U3" s="95" t="s">
        <v>2056</v>
      </c>
      <c r="V3" s="20"/>
      <c r="W3" s="20"/>
      <c r="X3" s="20" t="s">
        <v>3543</v>
      </c>
      <c r="Y3" s="20"/>
      <c r="Z3" s="152"/>
      <c r="AA3" s="152"/>
      <c r="AB3" s="152"/>
      <c r="AC3" s="152"/>
      <c r="AD3" s="152"/>
      <c r="AE3" s="152"/>
      <c r="AF3" s="152"/>
      <c r="AG3" s="152"/>
      <c r="AH3" s="152"/>
      <c r="AI3" s="152"/>
    </row>
    <row r="4">
      <c r="A4" s="159" t="s">
        <v>2058</v>
      </c>
      <c r="B4" s="20" t="s">
        <v>2050</v>
      </c>
      <c r="C4" s="20" t="s">
        <v>90</v>
      </c>
      <c r="D4" s="151" t="s">
        <v>2059</v>
      </c>
      <c r="E4" s="20" t="s">
        <v>2060</v>
      </c>
      <c r="F4" s="162" t="s">
        <v>2061</v>
      </c>
      <c r="G4" s="20" t="s">
        <v>2062</v>
      </c>
      <c r="H4" s="20" t="s">
        <v>2063</v>
      </c>
      <c r="I4" s="20"/>
      <c r="J4" s="20" t="s">
        <v>3544</v>
      </c>
      <c r="K4" s="20"/>
      <c r="L4" s="20" t="s">
        <v>3545</v>
      </c>
      <c r="M4" s="20"/>
      <c r="N4" s="20"/>
      <c r="O4" s="20"/>
      <c r="P4" s="20" t="s">
        <v>3546</v>
      </c>
      <c r="Q4" s="20"/>
      <c r="R4" s="20"/>
      <c r="S4" s="20" t="s">
        <v>2064</v>
      </c>
      <c r="T4" s="20"/>
      <c r="U4" s="20"/>
      <c r="V4" s="20" t="s">
        <v>412</v>
      </c>
      <c r="W4" s="20"/>
      <c r="X4" s="95" t="s">
        <v>2065</v>
      </c>
      <c r="Y4" s="20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>
      <c r="A5" s="20" t="s">
        <v>2066</v>
      </c>
      <c r="B5" s="20" t="s">
        <v>2050</v>
      </c>
      <c r="C5" s="20" t="s">
        <v>90</v>
      </c>
      <c r="D5" s="87" t="s">
        <v>2067</v>
      </c>
      <c r="E5" s="20">
        <v>5.3425054E7</v>
      </c>
      <c r="F5" s="20" t="s">
        <v>2068</v>
      </c>
      <c r="G5" s="20" t="s">
        <v>2069</v>
      </c>
      <c r="H5" s="20" t="s">
        <v>2070</v>
      </c>
      <c r="I5" s="20"/>
      <c r="J5" s="20" t="s">
        <v>3547</v>
      </c>
      <c r="K5" s="20"/>
      <c r="L5" s="20"/>
      <c r="M5" s="20"/>
      <c r="N5" s="20"/>
      <c r="O5" s="20"/>
      <c r="P5" s="20" t="s">
        <v>3548</v>
      </c>
      <c r="Q5" s="20"/>
      <c r="R5" s="20" t="s">
        <v>3549</v>
      </c>
      <c r="S5" s="20"/>
      <c r="T5" s="20"/>
      <c r="U5" s="20"/>
      <c r="V5" s="20" t="s">
        <v>461</v>
      </c>
      <c r="W5" s="20"/>
      <c r="X5" s="20" t="s">
        <v>3550</v>
      </c>
      <c r="Y5" s="20"/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>
      <c r="A6" s="159" t="s">
        <v>2071</v>
      </c>
      <c r="B6" s="20" t="s">
        <v>2050</v>
      </c>
      <c r="C6" s="20" t="s">
        <v>90</v>
      </c>
      <c r="D6" s="87" t="s">
        <v>2072</v>
      </c>
      <c r="E6" s="20" t="s">
        <v>2073</v>
      </c>
      <c r="F6" s="162" t="s">
        <v>2074</v>
      </c>
      <c r="G6" s="20" t="s">
        <v>2075</v>
      </c>
      <c r="H6" s="20" t="s">
        <v>2076</v>
      </c>
      <c r="I6" s="20"/>
      <c r="J6" s="20" t="s">
        <v>3551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152"/>
      <c r="AA6" s="152"/>
      <c r="AB6" s="152"/>
      <c r="AC6" s="152"/>
      <c r="AD6" s="152"/>
      <c r="AE6" s="152"/>
      <c r="AF6" s="152"/>
      <c r="AG6" s="152"/>
      <c r="AH6" s="152"/>
      <c r="AI6" s="152"/>
    </row>
    <row r="7">
      <c r="A7" s="20" t="s">
        <v>2077</v>
      </c>
      <c r="B7" s="20" t="s">
        <v>2050</v>
      </c>
      <c r="C7" s="20" t="s">
        <v>3552</v>
      </c>
      <c r="D7" s="151" t="s">
        <v>2059</v>
      </c>
      <c r="E7" s="95" t="s">
        <v>2078</v>
      </c>
      <c r="F7" s="162" t="s">
        <v>2061</v>
      </c>
      <c r="G7" s="20" t="s">
        <v>2062</v>
      </c>
      <c r="H7" s="20" t="s">
        <v>2063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52"/>
      <c r="AA7" s="152"/>
      <c r="AB7" s="152"/>
      <c r="AC7" s="152"/>
      <c r="AD7" s="152"/>
      <c r="AE7" s="152"/>
      <c r="AF7" s="152"/>
      <c r="AG7" s="152"/>
      <c r="AH7" s="152"/>
      <c r="AI7" s="152"/>
    </row>
    <row r="8">
      <c r="A8" s="95" t="s">
        <v>2079</v>
      </c>
      <c r="B8" s="20" t="s">
        <v>2050</v>
      </c>
      <c r="C8" s="20" t="s">
        <v>3553</v>
      </c>
      <c r="D8" s="84"/>
      <c r="E8" s="95">
        <v>7973488.0</v>
      </c>
      <c r="F8" s="159" t="s">
        <v>2080</v>
      </c>
      <c r="G8" s="95" t="s">
        <v>2081</v>
      </c>
      <c r="H8" s="95" t="s">
        <v>2082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52"/>
      <c r="AA8" s="152"/>
      <c r="AB8" s="152"/>
      <c r="AC8" s="152"/>
      <c r="AD8" s="152"/>
      <c r="AE8" s="152"/>
      <c r="AF8" s="152"/>
      <c r="AG8" s="152"/>
      <c r="AH8" s="152"/>
      <c r="AI8" s="152"/>
    </row>
    <row r="9">
      <c r="A9" s="95" t="s">
        <v>2083</v>
      </c>
      <c r="B9" s="20" t="s">
        <v>2050</v>
      </c>
      <c r="C9" s="20" t="s">
        <v>3412</v>
      </c>
      <c r="D9" s="84"/>
      <c r="E9" s="95">
        <v>5.8163636E7</v>
      </c>
      <c r="F9" s="159" t="s">
        <v>2084</v>
      </c>
      <c r="G9" s="95" t="s">
        <v>2085</v>
      </c>
      <c r="H9" s="95" t="s">
        <v>2086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52"/>
      <c r="AA9" s="152"/>
      <c r="AB9" s="152"/>
      <c r="AC9" s="152"/>
      <c r="AD9" s="152"/>
      <c r="AE9" s="152"/>
      <c r="AF9" s="152"/>
      <c r="AG9" s="152"/>
      <c r="AH9" s="152"/>
      <c r="AI9" s="152"/>
    </row>
    <row r="10">
      <c r="A10" s="95" t="s">
        <v>2087</v>
      </c>
      <c r="B10" s="20" t="s">
        <v>2050</v>
      </c>
      <c r="C10" s="20" t="s">
        <v>3553</v>
      </c>
      <c r="D10" s="84"/>
      <c r="E10" s="95">
        <v>5.3884391E7</v>
      </c>
      <c r="F10" s="159" t="s">
        <v>2088</v>
      </c>
      <c r="G10" s="95" t="s">
        <v>2089</v>
      </c>
      <c r="H10" s="95" t="s">
        <v>2090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</row>
    <row r="11">
      <c r="A11" s="95" t="s">
        <v>2091</v>
      </c>
      <c r="B11" s="20" t="s">
        <v>2050</v>
      </c>
      <c r="C11" s="20" t="s">
        <v>3554</v>
      </c>
      <c r="D11" s="84"/>
      <c r="E11" s="95">
        <v>5284859.0</v>
      </c>
      <c r="F11" s="159" t="s">
        <v>2092</v>
      </c>
      <c r="G11" s="95" t="s">
        <v>2093</v>
      </c>
      <c r="H11" s="95" t="s">
        <v>2094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</row>
    <row r="12">
      <c r="A12" s="95" t="s">
        <v>2095</v>
      </c>
      <c r="B12" s="20" t="s">
        <v>2050</v>
      </c>
      <c r="C12" s="20" t="s">
        <v>3554</v>
      </c>
      <c r="D12" s="84"/>
      <c r="E12" s="95">
        <v>5284859.0</v>
      </c>
      <c r="F12" s="159" t="s">
        <v>2092</v>
      </c>
      <c r="G12" s="95" t="s">
        <v>2093</v>
      </c>
      <c r="H12" s="95" t="s">
        <v>2096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</row>
    <row r="13">
      <c r="A13" s="95" t="s">
        <v>2097</v>
      </c>
      <c r="B13" s="20" t="s">
        <v>2050</v>
      </c>
      <c r="C13" s="20" t="s">
        <v>3435</v>
      </c>
      <c r="D13" s="87" t="s">
        <v>2098</v>
      </c>
      <c r="E13" s="95">
        <v>5189404.0</v>
      </c>
      <c r="F13" s="95" t="s">
        <v>2099</v>
      </c>
      <c r="G13" s="95" t="s">
        <v>2100</v>
      </c>
      <c r="H13" s="95" t="s">
        <v>2101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</row>
    <row r="14">
      <c r="A14" s="20" t="s">
        <v>2102</v>
      </c>
      <c r="B14" s="20" t="s">
        <v>2050</v>
      </c>
      <c r="C14" s="20" t="s">
        <v>3435</v>
      </c>
      <c r="D14" s="87" t="s">
        <v>2103</v>
      </c>
      <c r="E14" s="95">
        <v>5189404.0</v>
      </c>
      <c r="F14" s="159" t="s">
        <v>2099</v>
      </c>
      <c r="G14" s="95" t="s">
        <v>2100</v>
      </c>
      <c r="H14" s="95" t="s">
        <v>2104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</row>
    <row r="15">
      <c r="A15" s="95" t="s">
        <v>2105</v>
      </c>
      <c r="B15" s="20" t="s">
        <v>2050</v>
      </c>
      <c r="C15" s="20" t="s">
        <v>3435</v>
      </c>
      <c r="D15" s="87" t="s">
        <v>2106</v>
      </c>
      <c r="E15" s="95">
        <v>5.3564803E7</v>
      </c>
      <c r="F15" s="159" t="s">
        <v>2107</v>
      </c>
      <c r="G15" s="95" t="s">
        <v>2108</v>
      </c>
      <c r="H15" s="95" t="s">
        <v>2109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</row>
    <row r="16">
      <c r="A16" s="20" t="s">
        <v>2110</v>
      </c>
      <c r="B16" s="20" t="s">
        <v>2050</v>
      </c>
      <c r="C16" s="20" t="s">
        <v>3435</v>
      </c>
      <c r="D16" s="87" t="s">
        <v>2111</v>
      </c>
      <c r="E16" s="95">
        <v>5.3564803E7</v>
      </c>
      <c r="F16" s="159" t="s">
        <v>2112</v>
      </c>
      <c r="G16" s="95" t="s">
        <v>2108</v>
      </c>
      <c r="H16" s="95" t="s">
        <v>2113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</row>
    <row r="17">
      <c r="A17" s="95" t="s">
        <v>2114</v>
      </c>
      <c r="B17" s="20" t="s">
        <v>2050</v>
      </c>
      <c r="C17" s="20" t="s">
        <v>3438</v>
      </c>
      <c r="D17" s="84"/>
      <c r="E17" s="95">
        <v>7976302.0</v>
      </c>
      <c r="F17" s="159" t="s">
        <v>2115</v>
      </c>
      <c r="G17" s="95" t="s">
        <v>2116</v>
      </c>
      <c r="H17" s="95" t="s">
        <v>2101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>
      <c r="A18" s="95" t="s">
        <v>2117</v>
      </c>
      <c r="B18" s="20" t="s">
        <v>2050</v>
      </c>
      <c r="C18" s="20" t="s">
        <v>3438</v>
      </c>
      <c r="D18" s="84"/>
      <c r="E18" s="95">
        <v>7923416.0</v>
      </c>
      <c r="F18" s="159" t="s">
        <v>2118</v>
      </c>
      <c r="G18" s="95" t="s">
        <v>2119</v>
      </c>
      <c r="H18" s="95" t="s">
        <v>2120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</row>
    <row r="19">
      <c r="A19" s="95" t="s">
        <v>2121</v>
      </c>
      <c r="B19" s="20" t="s">
        <v>2050</v>
      </c>
      <c r="C19" s="20" t="s">
        <v>3438</v>
      </c>
      <c r="D19" s="84"/>
      <c r="E19" s="95">
        <v>7970229.0</v>
      </c>
      <c r="F19" s="159" t="s">
        <v>2122</v>
      </c>
      <c r="G19" s="95" t="s">
        <v>2123</v>
      </c>
      <c r="H19" s="95" t="s">
        <v>2124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</row>
    <row r="20">
      <c r="A20" s="95" t="s">
        <v>2125</v>
      </c>
      <c r="B20" s="20" t="s">
        <v>2050</v>
      </c>
      <c r="C20" s="20" t="s">
        <v>3438</v>
      </c>
      <c r="D20" s="84"/>
      <c r="E20" s="95">
        <v>7998440.0</v>
      </c>
      <c r="F20" s="159" t="s">
        <v>2126</v>
      </c>
      <c r="G20" s="95" t="s">
        <v>2127</v>
      </c>
      <c r="H20" s="95" t="s">
        <v>2096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</row>
    <row r="21">
      <c r="A21" s="95" t="s">
        <v>2128</v>
      </c>
      <c r="B21" s="20" t="s">
        <v>2050</v>
      </c>
      <c r="C21" s="20" t="s">
        <v>3438</v>
      </c>
      <c r="D21" s="151" t="s">
        <v>2129</v>
      </c>
      <c r="E21" s="95">
        <v>7971338.0</v>
      </c>
      <c r="F21" s="159" t="s">
        <v>2130</v>
      </c>
      <c r="G21" s="95" t="s">
        <v>2131</v>
      </c>
      <c r="H21" s="95" t="s">
        <v>2132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</row>
    <row r="22">
      <c r="A22" s="95" t="s">
        <v>2133</v>
      </c>
      <c r="B22" s="20" t="s">
        <v>2050</v>
      </c>
      <c r="C22" s="20" t="s">
        <v>3438</v>
      </c>
      <c r="D22" s="84"/>
      <c r="E22" s="95">
        <v>7998448.0</v>
      </c>
      <c r="F22" s="159" t="s">
        <v>2134</v>
      </c>
      <c r="G22" s="95" t="s">
        <v>2135</v>
      </c>
      <c r="H22" s="95" t="s">
        <v>2136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</row>
    <row r="23">
      <c r="A23" s="95" t="s">
        <v>2137</v>
      </c>
      <c r="B23" s="20" t="s">
        <v>2050</v>
      </c>
      <c r="C23" s="95" t="s">
        <v>3555</v>
      </c>
      <c r="D23" s="151" t="s">
        <v>2138</v>
      </c>
      <c r="E23" s="95" t="s">
        <v>2139</v>
      </c>
      <c r="F23" s="95" t="s">
        <v>2140</v>
      </c>
      <c r="G23" s="20"/>
      <c r="H23" s="95" t="s">
        <v>2141</v>
      </c>
      <c r="I23" s="20"/>
      <c r="J23" s="95" t="s">
        <v>3556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 t="s">
        <v>1864</v>
      </c>
      <c r="Y23" s="20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>
      <c r="A24" s="95" t="s">
        <v>2142</v>
      </c>
      <c r="B24" s="20" t="s">
        <v>2050</v>
      </c>
      <c r="C24" s="95" t="s">
        <v>3555</v>
      </c>
      <c r="D24" s="151" t="s">
        <v>2138</v>
      </c>
      <c r="E24" s="95" t="s">
        <v>2139</v>
      </c>
      <c r="F24" s="95" t="s">
        <v>2140</v>
      </c>
      <c r="G24" s="20"/>
      <c r="H24" s="95" t="s">
        <v>2143</v>
      </c>
      <c r="I24" s="20"/>
      <c r="J24" s="95" t="s">
        <v>2144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 t="s">
        <v>1864</v>
      </c>
      <c r="Y24" s="20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>
      <c r="A25" s="95" t="s">
        <v>2145</v>
      </c>
      <c r="B25" s="20" t="s">
        <v>2050</v>
      </c>
      <c r="C25" s="20" t="s">
        <v>3479</v>
      </c>
      <c r="D25" s="84"/>
      <c r="E25" s="95">
        <v>7976310.0</v>
      </c>
      <c r="F25" s="95" t="s">
        <v>2146</v>
      </c>
      <c r="G25" s="20"/>
      <c r="H25" s="95" t="s">
        <v>2147</v>
      </c>
      <c r="I25" s="20"/>
      <c r="J25" s="95" t="s">
        <v>3557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 t="s">
        <v>1676</v>
      </c>
      <c r="Y25" s="20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>
      <c r="A26" s="95" t="s">
        <v>2149</v>
      </c>
      <c r="B26" s="20" t="s">
        <v>2050</v>
      </c>
      <c r="C26" s="20" t="s">
        <v>415</v>
      </c>
      <c r="D26" s="84"/>
      <c r="E26" s="20"/>
      <c r="F26" s="95" t="s">
        <v>2150</v>
      </c>
      <c r="G26" s="20"/>
      <c r="H26" s="95" t="s">
        <v>2151</v>
      </c>
      <c r="I26" s="20"/>
      <c r="J26" s="95" t="s">
        <v>3558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 t="s">
        <v>1919</v>
      </c>
      <c r="Y26" s="20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>
      <c r="A27" s="95" t="s">
        <v>2152</v>
      </c>
      <c r="B27" s="20" t="s">
        <v>2050</v>
      </c>
      <c r="C27" s="20" t="s">
        <v>3479</v>
      </c>
      <c r="D27" s="84"/>
      <c r="E27" s="95">
        <v>5.3082992E7</v>
      </c>
      <c r="F27" s="95" t="s">
        <v>2153</v>
      </c>
      <c r="G27" s="20"/>
      <c r="H27" s="95" t="s">
        <v>2151</v>
      </c>
      <c r="I27" s="20"/>
      <c r="J27" s="95" t="s">
        <v>3559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 t="s">
        <v>1919</v>
      </c>
      <c r="Y27" s="20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>
      <c r="A28" s="95" t="s">
        <v>2154</v>
      </c>
      <c r="B28" s="20" t="s">
        <v>2050</v>
      </c>
      <c r="C28" s="20" t="s">
        <v>3479</v>
      </c>
      <c r="D28" s="84"/>
      <c r="E28" s="95">
        <v>7976310.0</v>
      </c>
      <c r="F28" s="95" t="s">
        <v>2146</v>
      </c>
      <c r="G28" s="20"/>
      <c r="H28" s="95" t="s">
        <v>2147</v>
      </c>
      <c r="I28" s="20"/>
      <c r="J28" s="95" t="s">
        <v>1898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 t="s">
        <v>1676</v>
      </c>
      <c r="Y28" s="20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>
      <c r="A29" s="95" t="s">
        <v>2155</v>
      </c>
      <c r="B29" s="20" t="s">
        <v>2050</v>
      </c>
      <c r="C29" s="20" t="s">
        <v>3482</v>
      </c>
      <c r="D29" s="84"/>
      <c r="E29" s="20"/>
      <c r="F29" s="95" t="s">
        <v>2150</v>
      </c>
      <c r="G29" s="20"/>
      <c r="H29" s="95" t="s">
        <v>2156</v>
      </c>
      <c r="I29" s="20"/>
      <c r="J29" s="95" t="s">
        <v>3483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 t="s">
        <v>1676</v>
      </c>
      <c r="Y29" s="20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>
      <c r="A30" s="95" t="s">
        <v>2157</v>
      </c>
      <c r="B30" s="20" t="s">
        <v>2050</v>
      </c>
      <c r="C30" s="20" t="s">
        <v>3479</v>
      </c>
      <c r="D30" s="84"/>
      <c r="E30" s="95">
        <v>5111840.0</v>
      </c>
      <c r="F30" s="95" t="s">
        <v>2158</v>
      </c>
      <c r="G30" s="20"/>
      <c r="H30" s="95" t="s">
        <v>2159</v>
      </c>
      <c r="I30" s="20"/>
      <c r="J30" s="95" t="s">
        <v>3483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 t="s">
        <v>1676</v>
      </c>
      <c r="Y30" s="20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</row>
    <row r="31">
      <c r="A31" s="95" t="s">
        <v>2160</v>
      </c>
      <c r="B31" s="20" t="s">
        <v>2050</v>
      </c>
      <c r="C31" s="20" t="s">
        <v>3479</v>
      </c>
      <c r="D31" s="84"/>
      <c r="E31" s="20"/>
      <c r="F31" s="95" t="s">
        <v>2150</v>
      </c>
      <c r="G31" s="20"/>
      <c r="H31" s="95" t="s">
        <v>2159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</row>
    <row r="32">
      <c r="A32" s="20" t="s">
        <v>2161</v>
      </c>
      <c r="B32" s="20" t="s">
        <v>2050</v>
      </c>
      <c r="C32" s="20" t="s">
        <v>3479</v>
      </c>
      <c r="D32" s="84"/>
      <c r="E32" s="20"/>
      <c r="F32" s="20"/>
      <c r="G32" s="20"/>
      <c r="H32" s="95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</row>
    <row r="33">
      <c r="A33" s="95" t="s">
        <v>2162</v>
      </c>
      <c r="B33" s="20" t="s">
        <v>2050</v>
      </c>
      <c r="C33" s="20" t="s">
        <v>3560</v>
      </c>
      <c r="D33" s="84"/>
      <c r="E33" s="95">
        <v>796310.0</v>
      </c>
      <c r="F33" s="95" t="s">
        <v>2146</v>
      </c>
      <c r="G33" s="20"/>
      <c r="H33" s="95" t="s">
        <v>2163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 t="s">
        <v>1683</v>
      </c>
      <c r="Y33" s="20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</row>
    <row r="34">
      <c r="A34" s="95" t="s">
        <v>2164</v>
      </c>
      <c r="B34" s="20" t="s">
        <v>2050</v>
      </c>
      <c r="C34" s="20" t="s">
        <v>3561</v>
      </c>
      <c r="D34" s="84"/>
      <c r="E34" s="20"/>
      <c r="F34" s="95" t="s">
        <v>2150</v>
      </c>
      <c r="G34" s="20"/>
      <c r="H34" s="95" t="s">
        <v>2165</v>
      </c>
      <c r="I34" s="20"/>
      <c r="J34" s="95" t="s">
        <v>3483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 t="s">
        <v>1683</v>
      </c>
      <c r="Y34" s="20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>
      <c r="A35" s="95" t="s">
        <v>2166</v>
      </c>
      <c r="B35" s="20" t="s">
        <v>2050</v>
      </c>
      <c r="C35" s="20" t="s">
        <v>3479</v>
      </c>
      <c r="D35" s="84"/>
      <c r="E35" s="20"/>
      <c r="F35" s="95" t="s">
        <v>2167</v>
      </c>
      <c r="G35" s="20"/>
      <c r="H35" s="95" t="s">
        <v>2168</v>
      </c>
      <c r="I35" s="20"/>
      <c r="J35" s="95" t="s">
        <v>3562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 t="s">
        <v>1676</v>
      </c>
      <c r="Y35" s="20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</row>
    <row r="36">
      <c r="A36" s="95" t="s">
        <v>2169</v>
      </c>
      <c r="B36" s="20" t="s">
        <v>2050</v>
      </c>
      <c r="C36" s="20" t="s">
        <v>3479</v>
      </c>
      <c r="D36" s="84"/>
      <c r="E36" s="95">
        <v>5.3733629E7</v>
      </c>
      <c r="F36" s="95" t="s">
        <v>2170</v>
      </c>
      <c r="G36" s="95"/>
      <c r="H36" s="95" t="s">
        <v>2171</v>
      </c>
      <c r="I36" s="20"/>
      <c r="J36" s="95" t="s">
        <v>3563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 t="s">
        <v>1676</v>
      </c>
      <c r="Y36" s="20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</row>
    <row r="37">
      <c r="A37" s="95" t="s">
        <v>2172</v>
      </c>
      <c r="B37" s="20" t="s">
        <v>2050</v>
      </c>
      <c r="C37" s="20" t="s">
        <v>3418</v>
      </c>
      <c r="D37" s="84"/>
      <c r="E37" s="95">
        <v>5018593.0</v>
      </c>
      <c r="F37" s="159" t="s">
        <v>2173</v>
      </c>
      <c r="G37" s="95" t="s">
        <v>2174</v>
      </c>
      <c r="H37" s="95" t="s">
        <v>2175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</row>
    <row r="38">
      <c r="D38" s="126"/>
    </row>
    <row r="39">
      <c r="D39" s="126"/>
    </row>
    <row r="40">
      <c r="D40" s="126"/>
    </row>
    <row r="41">
      <c r="A41" s="152"/>
      <c r="B41" s="152"/>
      <c r="C41" s="152"/>
      <c r="D41" s="156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</row>
    <row r="42">
      <c r="A42" s="152"/>
      <c r="B42" s="152"/>
      <c r="C42" s="152"/>
      <c r="D42" s="156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</row>
    <row r="43">
      <c r="A43" s="152"/>
      <c r="B43" s="152"/>
      <c r="C43" s="152"/>
      <c r="D43" s="156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</row>
    <row r="44">
      <c r="A44" s="152"/>
      <c r="B44" s="152"/>
      <c r="C44" s="152"/>
      <c r="D44" s="156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</row>
    <row r="45">
      <c r="A45" s="152"/>
      <c r="B45" s="152"/>
      <c r="C45" s="152"/>
      <c r="D45" s="156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</row>
    <row r="46">
      <c r="A46" s="152"/>
      <c r="B46" s="152"/>
      <c r="C46" s="152"/>
      <c r="D46" s="156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</row>
    <row r="47">
      <c r="A47" s="152"/>
      <c r="B47" s="152"/>
      <c r="C47" s="152"/>
      <c r="D47" s="156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  <row r="1001">
      <c r="D1001" s="126"/>
    </row>
    <row r="1002">
      <c r="D1002" s="126"/>
    </row>
    <row r="1003">
      <c r="D1003" s="126"/>
    </row>
    <row r="1004">
      <c r="D1004" s="126"/>
    </row>
  </sheetData>
  <conditionalFormatting sqref="E3:G3">
    <cfRule type="colorScale" priority="1">
      <colorScale>
        <cfvo type="min"/>
        <cfvo type="max"/>
        <color rgb="FF57BB8A"/>
        <color rgb="FFFFFFFF"/>
      </colorScale>
    </cfRule>
  </conditionalFormatting>
  <conditionalFormatting sqref="E4:E6 F4:F7 G4:G6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A3"/>
    <hyperlink r:id="rId2" ref="D3"/>
    <hyperlink r:id="rId3" ref="F3"/>
    <hyperlink r:id="rId4" ref="A4"/>
    <hyperlink r:id="rId5" ref="D4"/>
    <hyperlink r:id="rId6" ref="F4"/>
    <hyperlink r:id="rId7" ref="D5"/>
    <hyperlink r:id="rId8" ref="A6"/>
    <hyperlink r:id="rId9" ref="D6"/>
    <hyperlink r:id="rId10" ref="F6"/>
    <hyperlink r:id="rId11" ref="D7"/>
    <hyperlink r:id="rId12" ref="F7"/>
    <hyperlink r:id="rId13" ref="F8"/>
    <hyperlink r:id="rId14" ref="F9"/>
    <hyperlink r:id="rId15" ref="F10"/>
    <hyperlink r:id="rId16" ref="F11"/>
    <hyperlink r:id="rId17" ref="F12"/>
    <hyperlink r:id="rId18" ref="D13"/>
    <hyperlink r:id="rId19" ref="D14"/>
    <hyperlink r:id="rId20" ref="F14"/>
    <hyperlink r:id="rId21" ref="D15"/>
    <hyperlink r:id="rId22" ref="F15"/>
    <hyperlink r:id="rId23" ref="D16"/>
    <hyperlink r:id="rId24" ref="F16"/>
    <hyperlink r:id="rId25" ref="F17"/>
    <hyperlink r:id="rId26" ref="F18"/>
    <hyperlink r:id="rId27" ref="F19"/>
    <hyperlink r:id="rId28" ref="F20"/>
    <hyperlink r:id="rId29" ref="D21"/>
    <hyperlink r:id="rId30" ref="F21"/>
    <hyperlink r:id="rId31" ref="F22"/>
    <hyperlink r:id="rId32" ref="D23"/>
    <hyperlink r:id="rId33" ref="D24"/>
    <hyperlink r:id="rId34" ref="F37"/>
  </hyperlinks>
  <drawing r:id="rId3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1.29"/>
    <col customWidth="1" min="3" max="3" width="11.86"/>
    <col customWidth="1" min="4" max="4" width="54.43"/>
    <col customWidth="1" min="5" max="5" width="13.43"/>
    <col customWidth="1" min="6" max="6" width="24.0"/>
    <col customWidth="1" min="7" max="7" width="16.0"/>
    <col customWidth="1" min="8" max="8" width="38.0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8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40"/>
    </row>
    <row r="2">
      <c r="A2" s="37" t="s">
        <v>2176</v>
      </c>
      <c r="B2" s="37" t="s">
        <v>2177</v>
      </c>
      <c r="C2" s="37" t="s">
        <v>112</v>
      </c>
      <c r="D2" s="42"/>
      <c r="E2" s="37" t="s">
        <v>2178</v>
      </c>
      <c r="F2" s="45" t="s">
        <v>2179</v>
      </c>
      <c r="G2" s="37" t="s">
        <v>2180</v>
      </c>
      <c r="H2" s="37" t="s">
        <v>2181</v>
      </c>
      <c r="I2" s="37"/>
      <c r="J2" s="37" t="s">
        <v>77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44"/>
    </row>
    <row r="3">
      <c r="A3" s="174" t="s">
        <v>2182</v>
      </c>
      <c r="B3" s="37" t="s">
        <v>2177</v>
      </c>
      <c r="C3" s="37" t="s">
        <v>112</v>
      </c>
      <c r="D3" s="42"/>
      <c r="E3" s="37" t="s">
        <v>2183</v>
      </c>
      <c r="F3" s="45" t="s">
        <v>2184</v>
      </c>
      <c r="G3" s="37" t="s">
        <v>2185</v>
      </c>
      <c r="H3" s="37" t="s">
        <v>2186</v>
      </c>
      <c r="I3" s="37"/>
      <c r="J3" s="37" t="s">
        <v>77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44"/>
    </row>
    <row r="4">
      <c r="A4" s="174" t="s">
        <v>2187</v>
      </c>
      <c r="B4" s="37" t="s">
        <v>2177</v>
      </c>
      <c r="C4" s="37" t="s">
        <v>112</v>
      </c>
      <c r="D4" s="42"/>
      <c r="E4" s="37" t="s">
        <v>2188</v>
      </c>
      <c r="F4" s="45" t="s">
        <v>2189</v>
      </c>
      <c r="G4" s="37" t="s">
        <v>2190</v>
      </c>
      <c r="H4" s="37" t="s">
        <v>2191</v>
      </c>
      <c r="I4" s="37"/>
      <c r="J4" s="37" t="s">
        <v>77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44"/>
    </row>
    <row r="5">
      <c r="A5" s="174" t="s">
        <v>2192</v>
      </c>
      <c r="B5" s="37" t="s">
        <v>2177</v>
      </c>
      <c r="C5" s="37" t="s">
        <v>112</v>
      </c>
      <c r="D5" s="42"/>
      <c r="E5" s="37" t="s">
        <v>2193</v>
      </c>
      <c r="F5" s="45" t="s">
        <v>2194</v>
      </c>
      <c r="G5" s="37" t="s">
        <v>2195</v>
      </c>
      <c r="H5" s="37" t="s">
        <v>2196</v>
      </c>
      <c r="I5" s="37"/>
      <c r="J5" s="37" t="s">
        <v>77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44"/>
    </row>
    <row r="6">
      <c r="A6" s="174" t="s">
        <v>2197</v>
      </c>
      <c r="B6" s="37" t="s">
        <v>2177</v>
      </c>
      <c r="C6" s="37" t="s">
        <v>112</v>
      </c>
      <c r="D6" s="42"/>
      <c r="E6" s="37" t="s">
        <v>2198</v>
      </c>
      <c r="F6" s="45" t="s">
        <v>2199</v>
      </c>
      <c r="G6" s="37" t="s">
        <v>2200</v>
      </c>
      <c r="H6" s="37" t="s">
        <v>2201</v>
      </c>
      <c r="I6" s="37"/>
      <c r="J6" s="37" t="s">
        <v>77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174" t="s">
        <v>2202</v>
      </c>
      <c r="B7" s="37" t="s">
        <v>2177</v>
      </c>
      <c r="C7" s="37" t="s">
        <v>112</v>
      </c>
      <c r="D7" s="42"/>
      <c r="E7" s="37" t="s">
        <v>2203</v>
      </c>
      <c r="F7" s="45" t="s">
        <v>2204</v>
      </c>
      <c r="G7" s="37"/>
      <c r="H7" s="37" t="s">
        <v>2205</v>
      </c>
      <c r="I7" s="37"/>
      <c r="J7" s="37" t="s">
        <v>77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37" t="s">
        <v>2206</v>
      </c>
      <c r="B8" s="37" t="s">
        <v>2177</v>
      </c>
      <c r="C8" s="37" t="s">
        <v>3418</v>
      </c>
      <c r="D8" s="38" t="s">
        <v>2207</v>
      </c>
      <c r="E8" s="37">
        <v>5118271.0</v>
      </c>
      <c r="F8" s="45" t="s">
        <v>2208</v>
      </c>
      <c r="G8" s="37" t="s">
        <v>2209</v>
      </c>
      <c r="H8" s="37" t="s">
        <v>2210</v>
      </c>
      <c r="I8" s="37"/>
      <c r="J8" s="37" t="s">
        <v>37</v>
      </c>
      <c r="K8" s="37" t="s">
        <v>3463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37" t="s">
        <v>2211</v>
      </c>
      <c r="B9" s="37" t="s">
        <v>2177</v>
      </c>
      <c r="C9" s="37" t="s">
        <v>211</v>
      </c>
      <c r="D9" s="38" t="s">
        <v>2212</v>
      </c>
      <c r="E9" s="37" t="s">
        <v>2213</v>
      </c>
      <c r="F9" s="37" t="s">
        <v>2214</v>
      </c>
      <c r="G9" s="37" t="s">
        <v>2215</v>
      </c>
      <c r="H9" s="37" t="s">
        <v>2216</v>
      </c>
      <c r="I9" s="37"/>
      <c r="J9" s="37" t="s">
        <v>412</v>
      </c>
      <c r="K9" s="37" t="s">
        <v>3463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174" t="s">
        <v>2217</v>
      </c>
      <c r="B10" s="37" t="s">
        <v>2177</v>
      </c>
      <c r="C10" s="37" t="s">
        <v>262</v>
      </c>
      <c r="D10" s="38" t="s">
        <v>2218</v>
      </c>
      <c r="E10" s="37">
        <v>5.3477199E7</v>
      </c>
      <c r="F10" s="45" t="s">
        <v>2219</v>
      </c>
      <c r="G10" s="37" t="s">
        <v>2220</v>
      </c>
      <c r="H10" s="37" t="s">
        <v>2221</v>
      </c>
      <c r="I10" s="37"/>
      <c r="J10" s="37" t="s">
        <v>77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174" t="s">
        <v>2222</v>
      </c>
      <c r="B11" s="37" t="s">
        <v>2177</v>
      </c>
      <c r="C11" s="37" t="s">
        <v>262</v>
      </c>
      <c r="D11" s="38" t="s">
        <v>2218</v>
      </c>
      <c r="E11" s="37">
        <v>5.6657307E7</v>
      </c>
      <c r="F11" s="136" t="s">
        <v>2223</v>
      </c>
      <c r="G11" s="37" t="s">
        <v>2224</v>
      </c>
      <c r="H11" s="37" t="s">
        <v>2225</v>
      </c>
      <c r="I11" s="37"/>
      <c r="J11" s="37" t="s">
        <v>77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174" t="s">
        <v>2226</v>
      </c>
      <c r="B12" s="37" t="s">
        <v>2177</v>
      </c>
      <c r="C12" s="37" t="s">
        <v>3384</v>
      </c>
      <c r="D12" s="38" t="s">
        <v>2227</v>
      </c>
      <c r="E12" s="37"/>
      <c r="F12" s="37" t="s">
        <v>2228</v>
      </c>
      <c r="G12" s="37"/>
      <c r="H12" s="37" t="s">
        <v>2229</v>
      </c>
      <c r="I12" s="37"/>
      <c r="J12" s="37" t="s">
        <v>37</v>
      </c>
      <c r="K12" s="37" t="s">
        <v>3463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174" t="s">
        <v>2230</v>
      </c>
      <c r="B13" s="37" t="s">
        <v>2177</v>
      </c>
      <c r="C13" s="37" t="s">
        <v>3384</v>
      </c>
      <c r="D13" s="38" t="s">
        <v>2231</v>
      </c>
      <c r="E13" s="37" t="s">
        <v>2232</v>
      </c>
      <c r="F13" s="37" t="s">
        <v>2233</v>
      </c>
      <c r="G13" s="37"/>
      <c r="H13" s="37" t="s">
        <v>2234</v>
      </c>
      <c r="I13" s="37"/>
      <c r="J13" s="37" t="s">
        <v>37</v>
      </c>
      <c r="K13" s="37" t="s">
        <v>3463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 t="s">
        <v>412</v>
      </c>
    </row>
    <row r="14">
      <c r="A14" s="174" t="s">
        <v>2235</v>
      </c>
      <c r="B14" s="37" t="s">
        <v>2177</v>
      </c>
      <c r="C14" s="37" t="s">
        <v>3384</v>
      </c>
      <c r="D14" s="38" t="s">
        <v>2236</v>
      </c>
      <c r="E14" s="37" t="s">
        <v>2237</v>
      </c>
      <c r="F14" s="45" t="s">
        <v>2238</v>
      </c>
      <c r="G14" s="37" t="s">
        <v>2239</v>
      </c>
      <c r="H14" s="37" t="s">
        <v>2205</v>
      </c>
      <c r="I14" s="37"/>
      <c r="J14" s="37" t="s">
        <v>37</v>
      </c>
      <c r="K14" s="37" t="s">
        <v>3564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174" t="s">
        <v>2240</v>
      </c>
      <c r="B15" s="37" t="s">
        <v>2177</v>
      </c>
      <c r="C15" s="37" t="s">
        <v>512</v>
      </c>
      <c r="D15" s="38" t="s">
        <v>2241</v>
      </c>
      <c r="E15" s="37" t="s">
        <v>2242</v>
      </c>
      <c r="F15" s="45" t="s">
        <v>2243</v>
      </c>
      <c r="G15" s="37" t="s">
        <v>2244</v>
      </c>
      <c r="H15" s="37" t="s">
        <v>2245</v>
      </c>
      <c r="I15" s="37"/>
      <c r="J15" s="37" t="s">
        <v>37</v>
      </c>
      <c r="K15" s="37" t="s">
        <v>3463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174" t="s">
        <v>2246</v>
      </c>
      <c r="B16" s="37" t="s">
        <v>2177</v>
      </c>
      <c r="C16" s="37" t="s">
        <v>512</v>
      </c>
      <c r="D16" s="38" t="s">
        <v>2247</v>
      </c>
      <c r="E16" s="37" t="s">
        <v>2242</v>
      </c>
      <c r="F16" s="45" t="s">
        <v>2243</v>
      </c>
      <c r="G16" s="37" t="s">
        <v>2244</v>
      </c>
      <c r="H16" s="37" t="s">
        <v>2248</v>
      </c>
      <c r="I16" s="37"/>
      <c r="J16" s="37" t="s">
        <v>37</v>
      </c>
      <c r="K16" s="37" t="s">
        <v>3463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174" t="s">
        <v>2249</v>
      </c>
      <c r="B17" s="37" t="s">
        <v>2177</v>
      </c>
      <c r="C17" s="37" t="s">
        <v>3384</v>
      </c>
      <c r="D17" s="38" t="s">
        <v>2250</v>
      </c>
      <c r="E17" s="37" t="s">
        <v>2251</v>
      </c>
      <c r="F17" s="45" t="s">
        <v>2252</v>
      </c>
      <c r="G17" s="37"/>
      <c r="H17" s="37" t="s">
        <v>2253</v>
      </c>
      <c r="I17" s="37"/>
      <c r="J17" s="37" t="s">
        <v>37</v>
      </c>
      <c r="K17" s="37" t="s">
        <v>3463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136" t="s">
        <v>2254</v>
      </c>
      <c r="B18" s="136" t="s">
        <v>2177</v>
      </c>
      <c r="C18" s="136" t="s">
        <v>29</v>
      </c>
      <c r="D18" s="135"/>
      <c r="F18" s="136" t="s">
        <v>2255</v>
      </c>
      <c r="G18" s="136" t="s">
        <v>2256</v>
      </c>
    </row>
    <row r="19">
      <c r="A19" s="136" t="s">
        <v>2257</v>
      </c>
      <c r="B19" s="136" t="s">
        <v>2177</v>
      </c>
      <c r="C19" s="136" t="s">
        <v>3357</v>
      </c>
      <c r="D19" s="135"/>
      <c r="F19" s="136" t="s">
        <v>2258</v>
      </c>
      <c r="G19" s="136" t="s">
        <v>2259</v>
      </c>
    </row>
    <row r="20">
      <c r="A20" s="136" t="s">
        <v>2260</v>
      </c>
      <c r="B20" s="136" t="s">
        <v>2177</v>
      </c>
      <c r="C20" s="136" t="s">
        <v>3357</v>
      </c>
      <c r="D20" s="135"/>
      <c r="F20" s="136" t="s">
        <v>2261</v>
      </c>
      <c r="G20" s="136" t="s">
        <v>2262</v>
      </c>
    </row>
    <row r="21">
      <c r="D21" s="135"/>
    </row>
    <row r="22">
      <c r="D22" s="135"/>
    </row>
    <row r="23">
      <c r="D23" s="135"/>
    </row>
    <row r="24">
      <c r="D24" s="135"/>
    </row>
    <row r="25">
      <c r="D25" s="135"/>
    </row>
    <row r="26">
      <c r="D26" s="135"/>
    </row>
    <row r="27">
      <c r="D27" s="135"/>
    </row>
    <row r="28">
      <c r="D28" s="135"/>
    </row>
    <row r="29">
      <c r="D29" s="135"/>
    </row>
    <row r="30">
      <c r="D30" s="135"/>
    </row>
    <row r="31">
      <c r="D31" s="135"/>
    </row>
    <row r="32">
      <c r="D32" s="135"/>
    </row>
    <row r="33">
      <c r="D33" s="135"/>
    </row>
    <row r="34">
      <c r="D34" s="135"/>
    </row>
    <row r="35">
      <c r="D35" s="135"/>
    </row>
    <row r="36">
      <c r="D36" s="135"/>
    </row>
    <row r="37">
      <c r="D37" s="135"/>
    </row>
    <row r="38">
      <c r="D38" s="135"/>
    </row>
    <row r="39">
      <c r="D39" s="135"/>
    </row>
    <row r="40">
      <c r="D40" s="135"/>
    </row>
    <row r="41">
      <c r="D41" s="135"/>
    </row>
    <row r="42">
      <c r="D42" s="135"/>
    </row>
    <row r="43">
      <c r="D43" s="135"/>
    </row>
    <row r="44">
      <c r="D44" s="135"/>
    </row>
    <row r="45">
      <c r="D45" s="135"/>
    </row>
    <row r="46">
      <c r="D46" s="135"/>
    </row>
    <row r="47">
      <c r="D47" s="135"/>
    </row>
    <row r="48">
      <c r="D48" s="135"/>
    </row>
    <row r="49">
      <c r="D49" s="135"/>
    </row>
    <row r="50">
      <c r="D50" s="135"/>
    </row>
    <row r="51">
      <c r="D51" s="135"/>
    </row>
    <row r="52">
      <c r="D52" s="135"/>
    </row>
    <row r="53">
      <c r="D53" s="135"/>
    </row>
    <row r="54">
      <c r="D54" s="135"/>
    </row>
    <row r="55">
      <c r="D55" s="135"/>
    </row>
    <row r="56">
      <c r="D56" s="135"/>
    </row>
    <row r="57">
      <c r="D57" s="135"/>
    </row>
    <row r="58">
      <c r="D58" s="135"/>
    </row>
    <row r="59">
      <c r="D59" s="135"/>
    </row>
    <row r="60">
      <c r="D60" s="135"/>
    </row>
    <row r="61">
      <c r="D61" s="135"/>
    </row>
    <row r="62">
      <c r="D62" s="135"/>
    </row>
    <row r="63">
      <c r="D63" s="135"/>
    </row>
    <row r="64">
      <c r="D64" s="135"/>
    </row>
    <row r="65">
      <c r="D65" s="135"/>
    </row>
    <row r="66">
      <c r="D66" s="135"/>
    </row>
    <row r="67">
      <c r="D67" s="135"/>
    </row>
    <row r="68">
      <c r="D68" s="135"/>
    </row>
    <row r="69">
      <c r="D69" s="135"/>
    </row>
    <row r="70">
      <c r="D70" s="135"/>
    </row>
    <row r="71">
      <c r="D71" s="135"/>
    </row>
    <row r="72">
      <c r="D72" s="135"/>
    </row>
    <row r="73">
      <c r="D73" s="135"/>
    </row>
    <row r="74">
      <c r="D74" s="135"/>
    </row>
    <row r="75">
      <c r="D75" s="135"/>
    </row>
    <row r="76">
      <c r="D76" s="135"/>
    </row>
    <row r="77">
      <c r="D77" s="135"/>
    </row>
    <row r="78">
      <c r="D78" s="135"/>
    </row>
    <row r="79">
      <c r="D79" s="135"/>
    </row>
    <row r="80">
      <c r="D80" s="135"/>
    </row>
    <row r="81">
      <c r="D81" s="135"/>
    </row>
    <row r="82">
      <c r="D82" s="135"/>
    </row>
    <row r="83">
      <c r="D83" s="135"/>
    </row>
    <row r="84">
      <c r="D84" s="135"/>
    </row>
    <row r="85">
      <c r="D85" s="135"/>
    </row>
    <row r="86">
      <c r="D86" s="135"/>
    </row>
    <row r="87">
      <c r="D87" s="135"/>
    </row>
    <row r="88">
      <c r="D88" s="135"/>
    </row>
    <row r="89">
      <c r="D89" s="135"/>
    </row>
    <row r="90">
      <c r="D90" s="135"/>
    </row>
    <row r="91">
      <c r="D91" s="135"/>
    </row>
    <row r="92">
      <c r="D92" s="135"/>
    </row>
    <row r="93">
      <c r="D93" s="135"/>
    </row>
    <row r="94">
      <c r="D94" s="135"/>
    </row>
    <row r="95">
      <c r="D95" s="135"/>
    </row>
    <row r="96">
      <c r="D96" s="135"/>
    </row>
    <row r="97">
      <c r="D97" s="135"/>
    </row>
    <row r="98">
      <c r="D98" s="135"/>
    </row>
    <row r="99">
      <c r="D99" s="135"/>
    </row>
    <row r="100">
      <c r="D100" s="135"/>
    </row>
    <row r="101">
      <c r="D101" s="135"/>
    </row>
    <row r="102">
      <c r="D102" s="135"/>
    </row>
    <row r="103">
      <c r="D103" s="135"/>
    </row>
    <row r="104">
      <c r="D104" s="135"/>
    </row>
    <row r="105">
      <c r="D105" s="135"/>
    </row>
    <row r="106">
      <c r="D106" s="135"/>
    </row>
    <row r="107">
      <c r="D107" s="135"/>
    </row>
    <row r="108">
      <c r="D108" s="135"/>
    </row>
    <row r="109">
      <c r="D109" s="135"/>
    </row>
    <row r="110">
      <c r="D110" s="135"/>
    </row>
    <row r="111">
      <c r="D111" s="135"/>
    </row>
    <row r="112">
      <c r="D112" s="135"/>
    </row>
    <row r="113">
      <c r="D113" s="135"/>
    </row>
    <row r="114">
      <c r="D114" s="135"/>
    </row>
    <row r="115">
      <c r="D115" s="135"/>
    </row>
    <row r="116">
      <c r="D116" s="135"/>
    </row>
    <row r="117">
      <c r="D117" s="135"/>
    </row>
    <row r="118">
      <c r="D118" s="135"/>
    </row>
    <row r="119">
      <c r="D119" s="135"/>
    </row>
    <row r="120">
      <c r="D120" s="135"/>
    </row>
    <row r="121">
      <c r="D121" s="135"/>
    </row>
    <row r="122">
      <c r="D122" s="135"/>
    </row>
    <row r="123">
      <c r="D123" s="135"/>
    </row>
    <row r="124">
      <c r="D124" s="135"/>
    </row>
    <row r="125">
      <c r="D125" s="135"/>
    </row>
    <row r="126">
      <c r="D126" s="135"/>
    </row>
    <row r="127">
      <c r="D127" s="135"/>
    </row>
    <row r="128">
      <c r="D128" s="135"/>
    </row>
    <row r="129">
      <c r="D129" s="135"/>
    </row>
    <row r="130">
      <c r="D130" s="135"/>
    </row>
    <row r="131">
      <c r="D131" s="135"/>
    </row>
    <row r="132">
      <c r="D132" s="135"/>
    </row>
    <row r="133">
      <c r="D133" s="135"/>
    </row>
    <row r="134">
      <c r="D134" s="135"/>
    </row>
    <row r="135">
      <c r="D135" s="135"/>
    </row>
    <row r="136">
      <c r="D136" s="135"/>
    </row>
    <row r="137">
      <c r="D137" s="135"/>
    </row>
    <row r="138">
      <c r="D138" s="135"/>
    </row>
    <row r="139">
      <c r="D139" s="135"/>
    </row>
    <row r="140">
      <c r="D140" s="135"/>
    </row>
    <row r="141">
      <c r="D141" s="135"/>
    </row>
    <row r="142">
      <c r="D142" s="135"/>
    </row>
    <row r="143">
      <c r="D143" s="135"/>
    </row>
    <row r="144">
      <c r="D144" s="135"/>
    </row>
    <row r="145">
      <c r="D145" s="135"/>
    </row>
    <row r="146">
      <c r="D146" s="135"/>
    </row>
    <row r="147">
      <c r="D147" s="135"/>
    </row>
    <row r="148">
      <c r="D148" s="135"/>
    </row>
    <row r="149">
      <c r="D149" s="135"/>
    </row>
    <row r="150">
      <c r="D150" s="135"/>
    </row>
    <row r="151">
      <c r="D151" s="135"/>
    </row>
    <row r="152">
      <c r="D152" s="135"/>
    </row>
    <row r="153">
      <c r="D153" s="135"/>
    </row>
    <row r="154">
      <c r="D154" s="135"/>
    </row>
    <row r="155">
      <c r="D155" s="135"/>
    </row>
    <row r="156">
      <c r="D156" s="135"/>
    </row>
    <row r="157">
      <c r="D157" s="135"/>
    </row>
    <row r="158">
      <c r="D158" s="135"/>
    </row>
    <row r="159">
      <c r="D159" s="135"/>
    </row>
    <row r="160">
      <c r="D160" s="135"/>
    </row>
    <row r="161">
      <c r="D161" s="135"/>
    </row>
    <row r="162">
      <c r="D162" s="135"/>
    </row>
    <row r="163">
      <c r="D163" s="135"/>
    </row>
    <row r="164">
      <c r="D164" s="135"/>
    </row>
    <row r="165">
      <c r="D165" s="135"/>
    </row>
    <row r="166">
      <c r="D166" s="135"/>
    </row>
    <row r="167">
      <c r="D167" s="135"/>
    </row>
    <row r="168">
      <c r="D168" s="135"/>
    </row>
    <row r="169">
      <c r="D169" s="135"/>
    </row>
    <row r="170">
      <c r="D170" s="135"/>
    </row>
    <row r="171">
      <c r="D171" s="135"/>
    </row>
    <row r="172">
      <c r="D172" s="135"/>
    </row>
    <row r="173">
      <c r="D173" s="135"/>
    </row>
    <row r="174">
      <c r="D174" s="135"/>
    </row>
    <row r="175">
      <c r="D175" s="135"/>
    </row>
    <row r="176">
      <c r="D176" s="135"/>
    </row>
    <row r="177">
      <c r="D177" s="135"/>
    </row>
    <row r="178">
      <c r="D178" s="135"/>
    </row>
    <row r="179">
      <c r="D179" s="135"/>
    </row>
    <row r="180">
      <c r="D180" s="135"/>
    </row>
    <row r="181">
      <c r="D181" s="135"/>
    </row>
    <row r="182">
      <c r="D182" s="135"/>
    </row>
    <row r="183">
      <c r="D183" s="135"/>
    </row>
    <row r="184">
      <c r="D184" s="135"/>
    </row>
    <row r="185">
      <c r="D185" s="135"/>
    </row>
    <row r="186">
      <c r="D186" s="135"/>
    </row>
    <row r="187">
      <c r="D187" s="135"/>
    </row>
    <row r="188">
      <c r="D188" s="135"/>
    </row>
    <row r="189">
      <c r="D189" s="135"/>
    </row>
    <row r="190">
      <c r="D190" s="135"/>
    </row>
    <row r="191">
      <c r="D191" s="135"/>
    </row>
    <row r="192">
      <c r="D192" s="135"/>
    </row>
    <row r="193">
      <c r="D193" s="135"/>
    </row>
    <row r="194">
      <c r="D194" s="135"/>
    </row>
    <row r="195">
      <c r="D195" s="135"/>
    </row>
    <row r="196">
      <c r="D196" s="135"/>
    </row>
    <row r="197">
      <c r="D197" s="135"/>
    </row>
    <row r="198">
      <c r="D198" s="135"/>
    </row>
    <row r="199">
      <c r="D199" s="135"/>
    </row>
    <row r="200">
      <c r="D200" s="135"/>
    </row>
    <row r="201">
      <c r="D201" s="135"/>
    </row>
    <row r="202">
      <c r="D202" s="135"/>
    </row>
    <row r="203">
      <c r="D203" s="135"/>
    </row>
    <row r="204">
      <c r="D204" s="135"/>
    </row>
    <row r="205">
      <c r="D205" s="135"/>
    </row>
    <row r="206">
      <c r="D206" s="135"/>
    </row>
    <row r="207">
      <c r="D207" s="135"/>
    </row>
    <row r="208">
      <c r="D208" s="135"/>
    </row>
    <row r="209">
      <c r="D209" s="135"/>
    </row>
    <row r="210">
      <c r="D210" s="135"/>
    </row>
    <row r="211">
      <c r="D211" s="135"/>
    </row>
    <row r="212">
      <c r="D212" s="135"/>
    </row>
    <row r="213">
      <c r="D213" s="135"/>
    </row>
    <row r="214">
      <c r="D214" s="135"/>
    </row>
    <row r="215">
      <c r="D215" s="135"/>
    </row>
    <row r="216">
      <c r="D216" s="135"/>
    </row>
    <row r="217">
      <c r="D217" s="135"/>
    </row>
    <row r="218">
      <c r="D218" s="135"/>
    </row>
    <row r="219">
      <c r="D219" s="135"/>
    </row>
    <row r="220">
      <c r="D220" s="135"/>
    </row>
    <row r="221">
      <c r="D221" s="135"/>
    </row>
    <row r="222">
      <c r="D222" s="135"/>
    </row>
    <row r="223">
      <c r="D223" s="135"/>
    </row>
    <row r="224">
      <c r="D224" s="135"/>
    </row>
    <row r="225">
      <c r="D225" s="135"/>
    </row>
    <row r="226">
      <c r="D226" s="135"/>
    </row>
    <row r="227">
      <c r="D227" s="135"/>
    </row>
    <row r="228">
      <c r="D228" s="135"/>
    </row>
    <row r="229">
      <c r="D229" s="135"/>
    </row>
    <row r="230">
      <c r="D230" s="135"/>
    </row>
    <row r="231">
      <c r="D231" s="135"/>
    </row>
    <row r="232">
      <c r="D232" s="135"/>
    </row>
    <row r="233">
      <c r="D233" s="135"/>
    </row>
    <row r="234">
      <c r="D234" s="135"/>
    </row>
    <row r="235">
      <c r="D235" s="135"/>
    </row>
    <row r="236">
      <c r="D236" s="135"/>
    </row>
    <row r="237">
      <c r="D237" s="135"/>
    </row>
    <row r="238">
      <c r="D238" s="135"/>
    </row>
    <row r="239">
      <c r="D239" s="135"/>
    </row>
    <row r="240">
      <c r="D240" s="135"/>
    </row>
    <row r="241">
      <c r="D241" s="135"/>
    </row>
    <row r="242">
      <c r="D242" s="135"/>
    </row>
    <row r="243">
      <c r="D243" s="135"/>
    </row>
    <row r="244">
      <c r="D244" s="135"/>
    </row>
    <row r="245">
      <c r="D245" s="135"/>
    </row>
    <row r="246">
      <c r="D246" s="135"/>
    </row>
    <row r="247">
      <c r="D247" s="135"/>
    </row>
    <row r="248">
      <c r="D248" s="135"/>
    </row>
    <row r="249">
      <c r="D249" s="135"/>
    </row>
    <row r="250">
      <c r="D250" s="135"/>
    </row>
    <row r="251">
      <c r="D251" s="135"/>
    </row>
    <row r="252">
      <c r="D252" s="135"/>
    </row>
    <row r="253">
      <c r="D253" s="135"/>
    </row>
    <row r="254">
      <c r="D254" s="135"/>
    </row>
    <row r="255">
      <c r="D255" s="135"/>
    </row>
    <row r="256">
      <c r="D256" s="135"/>
    </row>
    <row r="257">
      <c r="D257" s="135"/>
    </row>
    <row r="258">
      <c r="D258" s="135"/>
    </row>
    <row r="259">
      <c r="D259" s="135"/>
    </row>
    <row r="260">
      <c r="D260" s="135"/>
    </row>
    <row r="261">
      <c r="D261" s="135"/>
    </row>
    <row r="262">
      <c r="D262" s="135"/>
    </row>
    <row r="263">
      <c r="D263" s="135"/>
    </row>
    <row r="264">
      <c r="D264" s="135"/>
    </row>
    <row r="265">
      <c r="D265" s="135"/>
    </row>
    <row r="266">
      <c r="D266" s="135"/>
    </row>
    <row r="267">
      <c r="D267" s="135"/>
    </row>
    <row r="268">
      <c r="D268" s="135"/>
    </row>
    <row r="269">
      <c r="D269" s="135"/>
    </row>
    <row r="270">
      <c r="D270" s="135"/>
    </row>
    <row r="271">
      <c r="D271" s="135"/>
    </row>
    <row r="272">
      <c r="D272" s="135"/>
    </row>
    <row r="273">
      <c r="D273" s="135"/>
    </row>
    <row r="274">
      <c r="D274" s="135"/>
    </row>
    <row r="275">
      <c r="D275" s="135"/>
    </row>
    <row r="276">
      <c r="D276" s="135"/>
    </row>
    <row r="277">
      <c r="D277" s="135"/>
    </row>
    <row r="278">
      <c r="D278" s="135"/>
    </row>
    <row r="279">
      <c r="D279" s="135"/>
    </row>
    <row r="280">
      <c r="D280" s="135"/>
    </row>
    <row r="281">
      <c r="D281" s="135"/>
    </row>
    <row r="282">
      <c r="D282" s="135"/>
    </row>
    <row r="283">
      <c r="D283" s="135"/>
    </row>
    <row r="284">
      <c r="D284" s="135"/>
    </row>
    <row r="285">
      <c r="D285" s="135"/>
    </row>
    <row r="286">
      <c r="D286" s="135"/>
    </row>
    <row r="287">
      <c r="D287" s="135"/>
    </row>
    <row r="288">
      <c r="D288" s="135"/>
    </row>
    <row r="289">
      <c r="D289" s="135"/>
    </row>
    <row r="290">
      <c r="D290" s="135"/>
    </row>
    <row r="291">
      <c r="D291" s="135"/>
    </row>
    <row r="292">
      <c r="D292" s="135"/>
    </row>
    <row r="293">
      <c r="D293" s="135"/>
    </row>
    <row r="294">
      <c r="D294" s="135"/>
    </row>
    <row r="295">
      <c r="D295" s="135"/>
    </row>
    <row r="296">
      <c r="D296" s="135"/>
    </row>
    <row r="297">
      <c r="D297" s="135"/>
    </row>
    <row r="298">
      <c r="D298" s="135"/>
    </row>
    <row r="299">
      <c r="D299" s="135"/>
    </row>
    <row r="300">
      <c r="D300" s="135"/>
    </row>
    <row r="301">
      <c r="D301" s="135"/>
    </row>
    <row r="302">
      <c r="D302" s="135"/>
    </row>
    <row r="303">
      <c r="D303" s="135"/>
    </row>
    <row r="304">
      <c r="D304" s="135"/>
    </row>
    <row r="305">
      <c r="D305" s="135"/>
    </row>
    <row r="306">
      <c r="D306" s="135"/>
    </row>
    <row r="307">
      <c r="D307" s="135"/>
    </row>
    <row r="308">
      <c r="D308" s="135"/>
    </row>
    <row r="309">
      <c r="D309" s="135"/>
    </row>
    <row r="310">
      <c r="D310" s="135"/>
    </row>
    <row r="311">
      <c r="D311" s="135"/>
    </row>
    <row r="312">
      <c r="D312" s="135"/>
    </row>
    <row r="313">
      <c r="D313" s="135"/>
    </row>
    <row r="314">
      <c r="D314" s="135"/>
    </row>
    <row r="315">
      <c r="D315" s="135"/>
    </row>
    <row r="316">
      <c r="D316" s="135"/>
    </row>
    <row r="317">
      <c r="D317" s="135"/>
    </row>
    <row r="318">
      <c r="D318" s="135"/>
    </row>
    <row r="319">
      <c r="D319" s="135"/>
    </row>
    <row r="320">
      <c r="D320" s="135"/>
    </row>
    <row r="321">
      <c r="D321" s="135"/>
    </row>
    <row r="322">
      <c r="D322" s="135"/>
    </row>
    <row r="323">
      <c r="D323" s="135"/>
    </row>
    <row r="324">
      <c r="D324" s="135"/>
    </row>
    <row r="325">
      <c r="D325" s="135"/>
    </row>
    <row r="326">
      <c r="D326" s="135"/>
    </row>
    <row r="327">
      <c r="D327" s="135"/>
    </row>
    <row r="328">
      <c r="D328" s="135"/>
    </row>
    <row r="329">
      <c r="D329" s="135"/>
    </row>
    <row r="330">
      <c r="D330" s="135"/>
    </row>
    <row r="331">
      <c r="D331" s="135"/>
    </row>
    <row r="332">
      <c r="D332" s="135"/>
    </row>
    <row r="333">
      <c r="D333" s="135"/>
    </row>
    <row r="334">
      <c r="D334" s="135"/>
    </row>
    <row r="335">
      <c r="D335" s="135"/>
    </row>
    <row r="336">
      <c r="D336" s="135"/>
    </row>
    <row r="337">
      <c r="D337" s="135"/>
    </row>
    <row r="338">
      <c r="D338" s="135"/>
    </row>
    <row r="339">
      <c r="D339" s="135"/>
    </row>
    <row r="340">
      <c r="D340" s="135"/>
    </row>
    <row r="341">
      <c r="D341" s="135"/>
    </row>
    <row r="342">
      <c r="D342" s="135"/>
    </row>
    <row r="343">
      <c r="D343" s="135"/>
    </row>
    <row r="344">
      <c r="D344" s="135"/>
    </row>
    <row r="345">
      <c r="D345" s="135"/>
    </row>
    <row r="346">
      <c r="D346" s="135"/>
    </row>
    <row r="347">
      <c r="D347" s="135"/>
    </row>
    <row r="348">
      <c r="D348" s="135"/>
    </row>
    <row r="349">
      <c r="D349" s="135"/>
    </row>
    <row r="350">
      <c r="D350" s="135"/>
    </row>
    <row r="351">
      <c r="D351" s="135"/>
    </row>
    <row r="352">
      <c r="D352" s="135"/>
    </row>
    <row r="353">
      <c r="D353" s="135"/>
    </row>
    <row r="354">
      <c r="D354" s="135"/>
    </row>
    <row r="355">
      <c r="D355" s="135"/>
    </row>
    <row r="356">
      <c r="D356" s="135"/>
    </row>
    <row r="357">
      <c r="D357" s="135"/>
    </row>
    <row r="358">
      <c r="D358" s="135"/>
    </row>
    <row r="359">
      <c r="D359" s="135"/>
    </row>
    <row r="360">
      <c r="D360" s="135"/>
    </row>
    <row r="361">
      <c r="D361" s="135"/>
    </row>
    <row r="362">
      <c r="D362" s="135"/>
    </row>
    <row r="363">
      <c r="D363" s="135"/>
    </row>
    <row r="364">
      <c r="D364" s="135"/>
    </row>
    <row r="365">
      <c r="D365" s="135"/>
    </row>
    <row r="366">
      <c r="D366" s="135"/>
    </row>
    <row r="367">
      <c r="D367" s="135"/>
    </row>
    <row r="368">
      <c r="D368" s="135"/>
    </row>
    <row r="369">
      <c r="D369" s="135"/>
    </row>
    <row r="370">
      <c r="D370" s="135"/>
    </row>
    <row r="371">
      <c r="D371" s="135"/>
    </row>
    <row r="372">
      <c r="D372" s="135"/>
    </row>
    <row r="373">
      <c r="D373" s="135"/>
    </row>
    <row r="374">
      <c r="D374" s="135"/>
    </row>
    <row r="375">
      <c r="D375" s="135"/>
    </row>
    <row r="376">
      <c r="D376" s="135"/>
    </row>
    <row r="377">
      <c r="D377" s="135"/>
    </row>
    <row r="378">
      <c r="D378" s="135"/>
    </row>
    <row r="379">
      <c r="D379" s="135"/>
    </row>
    <row r="380">
      <c r="D380" s="135"/>
    </row>
    <row r="381">
      <c r="D381" s="135"/>
    </row>
    <row r="382">
      <c r="D382" s="135"/>
    </row>
    <row r="383">
      <c r="D383" s="135"/>
    </row>
    <row r="384">
      <c r="D384" s="135"/>
    </row>
    <row r="385">
      <c r="D385" s="135"/>
    </row>
    <row r="386">
      <c r="D386" s="135"/>
    </row>
    <row r="387">
      <c r="D387" s="135"/>
    </row>
    <row r="388">
      <c r="D388" s="135"/>
    </row>
    <row r="389">
      <c r="D389" s="135"/>
    </row>
    <row r="390">
      <c r="D390" s="135"/>
    </row>
    <row r="391">
      <c r="D391" s="135"/>
    </row>
    <row r="392">
      <c r="D392" s="135"/>
    </row>
    <row r="393">
      <c r="D393" s="135"/>
    </row>
    <row r="394">
      <c r="D394" s="135"/>
    </row>
    <row r="395">
      <c r="D395" s="135"/>
    </row>
    <row r="396">
      <c r="D396" s="135"/>
    </row>
    <row r="397">
      <c r="D397" s="135"/>
    </row>
    <row r="398">
      <c r="D398" s="135"/>
    </row>
    <row r="399">
      <c r="D399" s="135"/>
    </row>
    <row r="400">
      <c r="D400" s="135"/>
    </row>
    <row r="401">
      <c r="D401" s="135"/>
    </row>
    <row r="402">
      <c r="D402" s="135"/>
    </row>
    <row r="403">
      <c r="D403" s="135"/>
    </row>
    <row r="404">
      <c r="D404" s="135"/>
    </row>
    <row r="405">
      <c r="D405" s="135"/>
    </row>
    <row r="406">
      <c r="D406" s="135"/>
    </row>
    <row r="407">
      <c r="D407" s="135"/>
    </row>
    <row r="408">
      <c r="D408" s="135"/>
    </row>
    <row r="409">
      <c r="D409" s="135"/>
    </row>
    <row r="410">
      <c r="D410" s="135"/>
    </row>
    <row r="411">
      <c r="D411" s="135"/>
    </row>
    <row r="412">
      <c r="D412" s="135"/>
    </row>
    <row r="413">
      <c r="D413" s="135"/>
    </row>
    <row r="414">
      <c r="D414" s="135"/>
    </row>
    <row r="415">
      <c r="D415" s="135"/>
    </row>
    <row r="416">
      <c r="D416" s="135"/>
    </row>
    <row r="417">
      <c r="D417" s="135"/>
    </row>
    <row r="418">
      <c r="D418" s="135"/>
    </row>
    <row r="419">
      <c r="D419" s="135"/>
    </row>
    <row r="420">
      <c r="D420" s="135"/>
    </row>
    <row r="421">
      <c r="D421" s="135"/>
    </row>
    <row r="422">
      <c r="D422" s="135"/>
    </row>
    <row r="423">
      <c r="D423" s="135"/>
    </row>
    <row r="424">
      <c r="D424" s="135"/>
    </row>
    <row r="425">
      <c r="D425" s="135"/>
    </row>
    <row r="426">
      <c r="D426" s="135"/>
    </row>
    <row r="427">
      <c r="D427" s="135"/>
    </row>
    <row r="428">
      <c r="D428" s="135"/>
    </row>
    <row r="429">
      <c r="D429" s="135"/>
    </row>
    <row r="430">
      <c r="D430" s="135"/>
    </row>
    <row r="431">
      <c r="D431" s="135"/>
    </row>
    <row r="432">
      <c r="D432" s="135"/>
    </row>
    <row r="433">
      <c r="D433" s="135"/>
    </row>
    <row r="434">
      <c r="D434" s="135"/>
    </row>
    <row r="435">
      <c r="D435" s="135"/>
    </row>
    <row r="436">
      <c r="D436" s="135"/>
    </row>
    <row r="437">
      <c r="D437" s="135"/>
    </row>
    <row r="438">
      <c r="D438" s="135"/>
    </row>
    <row r="439">
      <c r="D439" s="135"/>
    </row>
    <row r="440">
      <c r="D440" s="135"/>
    </row>
    <row r="441">
      <c r="D441" s="135"/>
    </row>
    <row r="442">
      <c r="D442" s="135"/>
    </row>
    <row r="443">
      <c r="D443" s="135"/>
    </row>
    <row r="444">
      <c r="D444" s="135"/>
    </row>
    <row r="445">
      <c r="D445" s="135"/>
    </row>
    <row r="446">
      <c r="D446" s="135"/>
    </row>
    <row r="447">
      <c r="D447" s="135"/>
    </row>
    <row r="448">
      <c r="D448" s="135"/>
    </row>
    <row r="449">
      <c r="D449" s="135"/>
    </row>
    <row r="450">
      <c r="D450" s="135"/>
    </row>
    <row r="451">
      <c r="D451" s="135"/>
    </row>
    <row r="452">
      <c r="D452" s="135"/>
    </row>
    <row r="453">
      <c r="D453" s="135"/>
    </row>
    <row r="454">
      <c r="D454" s="135"/>
    </row>
    <row r="455">
      <c r="D455" s="135"/>
    </row>
    <row r="456">
      <c r="D456" s="135"/>
    </row>
    <row r="457">
      <c r="D457" s="135"/>
    </row>
    <row r="458">
      <c r="D458" s="135"/>
    </row>
    <row r="459">
      <c r="D459" s="135"/>
    </row>
    <row r="460">
      <c r="D460" s="135"/>
    </row>
    <row r="461">
      <c r="D461" s="135"/>
    </row>
    <row r="462">
      <c r="D462" s="135"/>
    </row>
    <row r="463">
      <c r="D463" s="135"/>
    </row>
    <row r="464">
      <c r="D464" s="135"/>
    </row>
    <row r="465">
      <c r="D465" s="135"/>
    </row>
    <row r="466">
      <c r="D466" s="135"/>
    </row>
    <row r="467">
      <c r="D467" s="135"/>
    </row>
    <row r="468">
      <c r="D468" s="135"/>
    </row>
    <row r="469">
      <c r="D469" s="135"/>
    </row>
    <row r="470">
      <c r="D470" s="135"/>
    </row>
    <row r="471">
      <c r="D471" s="135"/>
    </row>
    <row r="472">
      <c r="D472" s="135"/>
    </row>
    <row r="473">
      <c r="D473" s="135"/>
    </row>
    <row r="474">
      <c r="D474" s="135"/>
    </row>
    <row r="475">
      <c r="D475" s="135"/>
    </row>
    <row r="476">
      <c r="D476" s="135"/>
    </row>
    <row r="477">
      <c r="D477" s="135"/>
    </row>
    <row r="478">
      <c r="D478" s="135"/>
    </row>
    <row r="479">
      <c r="D479" s="135"/>
    </row>
    <row r="480">
      <c r="D480" s="135"/>
    </row>
    <row r="481">
      <c r="D481" s="135"/>
    </row>
    <row r="482">
      <c r="D482" s="135"/>
    </row>
    <row r="483">
      <c r="D483" s="135"/>
    </row>
    <row r="484">
      <c r="D484" s="135"/>
    </row>
    <row r="485">
      <c r="D485" s="135"/>
    </row>
    <row r="486">
      <c r="D486" s="135"/>
    </row>
    <row r="487">
      <c r="D487" s="135"/>
    </row>
    <row r="488">
      <c r="D488" s="135"/>
    </row>
    <row r="489">
      <c r="D489" s="135"/>
    </row>
    <row r="490">
      <c r="D490" s="135"/>
    </row>
    <row r="491">
      <c r="D491" s="135"/>
    </row>
    <row r="492">
      <c r="D492" s="135"/>
    </row>
    <row r="493">
      <c r="D493" s="135"/>
    </row>
    <row r="494">
      <c r="D494" s="135"/>
    </row>
    <row r="495">
      <c r="D495" s="135"/>
    </row>
    <row r="496">
      <c r="D496" s="135"/>
    </row>
    <row r="497">
      <c r="D497" s="135"/>
    </row>
    <row r="498">
      <c r="D498" s="135"/>
    </row>
    <row r="499">
      <c r="D499" s="135"/>
    </row>
    <row r="500">
      <c r="D500" s="135"/>
    </row>
    <row r="501">
      <c r="D501" s="135"/>
    </row>
    <row r="502">
      <c r="D502" s="135"/>
    </row>
    <row r="503">
      <c r="D503" s="135"/>
    </row>
    <row r="504">
      <c r="D504" s="135"/>
    </row>
    <row r="505">
      <c r="D505" s="135"/>
    </row>
    <row r="506">
      <c r="D506" s="135"/>
    </row>
    <row r="507">
      <c r="D507" s="135"/>
    </row>
    <row r="508">
      <c r="D508" s="135"/>
    </row>
    <row r="509">
      <c r="D509" s="135"/>
    </row>
    <row r="510">
      <c r="D510" s="135"/>
    </row>
    <row r="511">
      <c r="D511" s="135"/>
    </row>
    <row r="512">
      <c r="D512" s="135"/>
    </row>
    <row r="513">
      <c r="D513" s="135"/>
    </row>
    <row r="514">
      <c r="D514" s="135"/>
    </row>
    <row r="515">
      <c r="D515" s="135"/>
    </row>
    <row r="516">
      <c r="D516" s="135"/>
    </row>
    <row r="517">
      <c r="D517" s="135"/>
    </row>
    <row r="518">
      <c r="D518" s="135"/>
    </row>
    <row r="519">
      <c r="D519" s="135"/>
    </row>
    <row r="520">
      <c r="D520" s="135"/>
    </row>
    <row r="521">
      <c r="D521" s="135"/>
    </row>
    <row r="522">
      <c r="D522" s="135"/>
    </row>
    <row r="523">
      <c r="D523" s="135"/>
    </row>
    <row r="524">
      <c r="D524" s="135"/>
    </row>
    <row r="525">
      <c r="D525" s="135"/>
    </row>
    <row r="526">
      <c r="D526" s="135"/>
    </row>
    <row r="527">
      <c r="D527" s="135"/>
    </row>
    <row r="528">
      <c r="D528" s="135"/>
    </row>
    <row r="529">
      <c r="D529" s="135"/>
    </row>
    <row r="530">
      <c r="D530" s="135"/>
    </row>
    <row r="531">
      <c r="D531" s="135"/>
    </row>
    <row r="532">
      <c r="D532" s="135"/>
    </row>
    <row r="533">
      <c r="D533" s="135"/>
    </row>
    <row r="534">
      <c r="D534" s="135"/>
    </row>
    <row r="535">
      <c r="D535" s="135"/>
    </row>
    <row r="536">
      <c r="D536" s="135"/>
    </row>
    <row r="537">
      <c r="D537" s="135"/>
    </row>
    <row r="538">
      <c r="D538" s="135"/>
    </row>
    <row r="539">
      <c r="D539" s="135"/>
    </row>
    <row r="540">
      <c r="D540" s="135"/>
    </row>
    <row r="541">
      <c r="D541" s="135"/>
    </row>
    <row r="542">
      <c r="D542" s="135"/>
    </row>
    <row r="543">
      <c r="D543" s="135"/>
    </row>
    <row r="544">
      <c r="D544" s="135"/>
    </row>
    <row r="545">
      <c r="D545" s="135"/>
    </row>
    <row r="546">
      <c r="D546" s="135"/>
    </row>
    <row r="547">
      <c r="D547" s="135"/>
    </row>
    <row r="548">
      <c r="D548" s="135"/>
    </row>
    <row r="549">
      <c r="D549" s="135"/>
    </row>
    <row r="550">
      <c r="D550" s="135"/>
    </row>
    <row r="551">
      <c r="D551" s="135"/>
    </row>
    <row r="552">
      <c r="D552" s="135"/>
    </row>
    <row r="553">
      <c r="D553" s="135"/>
    </row>
    <row r="554">
      <c r="D554" s="135"/>
    </row>
    <row r="555">
      <c r="D555" s="135"/>
    </row>
    <row r="556">
      <c r="D556" s="135"/>
    </row>
    <row r="557">
      <c r="D557" s="135"/>
    </row>
    <row r="558">
      <c r="D558" s="135"/>
    </row>
    <row r="559">
      <c r="D559" s="135"/>
    </row>
    <row r="560">
      <c r="D560" s="135"/>
    </row>
    <row r="561">
      <c r="D561" s="135"/>
    </row>
    <row r="562">
      <c r="D562" s="135"/>
    </row>
    <row r="563">
      <c r="D563" s="135"/>
    </row>
    <row r="564">
      <c r="D564" s="135"/>
    </row>
    <row r="565">
      <c r="D565" s="135"/>
    </row>
    <row r="566">
      <c r="D566" s="135"/>
    </row>
    <row r="567">
      <c r="D567" s="135"/>
    </row>
    <row r="568">
      <c r="D568" s="135"/>
    </row>
    <row r="569">
      <c r="D569" s="135"/>
    </row>
    <row r="570">
      <c r="D570" s="135"/>
    </row>
    <row r="571">
      <c r="D571" s="135"/>
    </row>
    <row r="572">
      <c r="D572" s="135"/>
    </row>
    <row r="573">
      <c r="D573" s="135"/>
    </row>
    <row r="574">
      <c r="D574" s="135"/>
    </row>
    <row r="575">
      <c r="D575" s="135"/>
    </row>
    <row r="576">
      <c r="D576" s="135"/>
    </row>
    <row r="577">
      <c r="D577" s="135"/>
    </row>
    <row r="578">
      <c r="D578" s="135"/>
    </row>
    <row r="579">
      <c r="D579" s="135"/>
    </row>
    <row r="580">
      <c r="D580" s="135"/>
    </row>
    <row r="581">
      <c r="D581" s="135"/>
    </row>
    <row r="582">
      <c r="D582" s="135"/>
    </row>
    <row r="583">
      <c r="D583" s="135"/>
    </row>
    <row r="584">
      <c r="D584" s="135"/>
    </row>
    <row r="585">
      <c r="D585" s="135"/>
    </row>
    <row r="586">
      <c r="D586" s="135"/>
    </row>
    <row r="587">
      <c r="D587" s="135"/>
    </row>
    <row r="588">
      <c r="D588" s="135"/>
    </row>
    <row r="589">
      <c r="D589" s="135"/>
    </row>
    <row r="590">
      <c r="D590" s="135"/>
    </row>
    <row r="591">
      <c r="D591" s="135"/>
    </row>
    <row r="592">
      <c r="D592" s="135"/>
    </row>
    <row r="593">
      <c r="D593" s="135"/>
    </row>
    <row r="594">
      <c r="D594" s="135"/>
    </row>
    <row r="595">
      <c r="D595" s="135"/>
    </row>
    <row r="596">
      <c r="D596" s="135"/>
    </row>
    <row r="597">
      <c r="D597" s="135"/>
    </row>
    <row r="598">
      <c r="D598" s="135"/>
    </row>
    <row r="599">
      <c r="D599" s="135"/>
    </row>
    <row r="600">
      <c r="D600" s="135"/>
    </row>
    <row r="601">
      <c r="D601" s="135"/>
    </row>
    <row r="602">
      <c r="D602" s="135"/>
    </row>
    <row r="603">
      <c r="D603" s="135"/>
    </row>
    <row r="604">
      <c r="D604" s="135"/>
    </row>
    <row r="605">
      <c r="D605" s="135"/>
    </row>
    <row r="606">
      <c r="D606" s="135"/>
    </row>
    <row r="607">
      <c r="D607" s="135"/>
    </row>
    <row r="608">
      <c r="D608" s="135"/>
    </row>
    <row r="609">
      <c r="D609" s="135"/>
    </row>
    <row r="610">
      <c r="D610" s="135"/>
    </row>
    <row r="611">
      <c r="D611" s="135"/>
    </row>
    <row r="612">
      <c r="D612" s="135"/>
    </row>
    <row r="613">
      <c r="D613" s="135"/>
    </row>
    <row r="614">
      <c r="D614" s="135"/>
    </row>
    <row r="615">
      <c r="D615" s="135"/>
    </row>
    <row r="616">
      <c r="D616" s="135"/>
    </row>
    <row r="617">
      <c r="D617" s="135"/>
    </row>
    <row r="618">
      <c r="D618" s="135"/>
    </row>
    <row r="619">
      <c r="D619" s="135"/>
    </row>
    <row r="620">
      <c r="D620" s="135"/>
    </row>
    <row r="621">
      <c r="D621" s="135"/>
    </row>
    <row r="622">
      <c r="D622" s="135"/>
    </row>
    <row r="623">
      <c r="D623" s="135"/>
    </row>
    <row r="624">
      <c r="D624" s="135"/>
    </row>
    <row r="625">
      <c r="D625" s="135"/>
    </row>
    <row r="626">
      <c r="D626" s="135"/>
    </row>
    <row r="627">
      <c r="D627" s="135"/>
    </row>
    <row r="628">
      <c r="D628" s="135"/>
    </row>
    <row r="629">
      <c r="D629" s="135"/>
    </row>
    <row r="630">
      <c r="D630" s="135"/>
    </row>
    <row r="631">
      <c r="D631" s="135"/>
    </row>
    <row r="632">
      <c r="D632" s="135"/>
    </row>
    <row r="633">
      <c r="D633" s="135"/>
    </row>
    <row r="634">
      <c r="D634" s="135"/>
    </row>
    <row r="635">
      <c r="D635" s="135"/>
    </row>
    <row r="636">
      <c r="D636" s="135"/>
    </row>
    <row r="637">
      <c r="D637" s="135"/>
    </row>
    <row r="638">
      <c r="D638" s="135"/>
    </row>
    <row r="639">
      <c r="D639" s="135"/>
    </row>
    <row r="640">
      <c r="D640" s="135"/>
    </row>
    <row r="641">
      <c r="D641" s="135"/>
    </row>
    <row r="642">
      <c r="D642" s="135"/>
    </row>
    <row r="643">
      <c r="D643" s="135"/>
    </row>
    <row r="644">
      <c r="D644" s="135"/>
    </row>
    <row r="645">
      <c r="D645" s="135"/>
    </row>
    <row r="646">
      <c r="D646" s="135"/>
    </row>
    <row r="647">
      <c r="D647" s="135"/>
    </row>
    <row r="648">
      <c r="D648" s="135"/>
    </row>
    <row r="649">
      <c r="D649" s="135"/>
    </row>
    <row r="650">
      <c r="D650" s="135"/>
    </row>
    <row r="651">
      <c r="D651" s="135"/>
    </row>
    <row r="652">
      <c r="D652" s="135"/>
    </row>
    <row r="653">
      <c r="D653" s="135"/>
    </row>
    <row r="654">
      <c r="D654" s="135"/>
    </row>
    <row r="655">
      <c r="D655" s="135"/>
    </row>
    <row r="656">
      <c r="D656" s="135"/>
    </row>
    <row r="657">
      <c r="D657" s="135"/>
    </row>
    <row r="658">
      <c r="D658" s="135"/>
    </row>
    <row r="659">
      <c r="D659" s="135"/>
    </row>
    <row r="660">
      <c r="D660" s="135"/>
    </row>
    <row r="661">
      <c r="D661" s="135"/>
    </row>
    <row r="662">
      <c r="D662" s="135"/>
    </row>
    <row r="663">
      <c r="D663" s="135"/>
    </row>
    <row r="664">
      <c r="D664" s="135"/>
    </row>
    <row r="665">
      <c r="D665" s="135"/>
    </row>
    <row r="666">
      <c r="D666" s="135"/>
    </row>
    <row r="667">
      <c r="D667" s="135"/>
    </row>
    <row r="668">
      <c r="D668" s="135"/>
    </row>
    <row r="669">
      <c r="D669" s="135"/>
    </row>
    <row r="670">
      <c r="D670" s="135"/>
    </row>
    <row r="671">
      <c r="D671" s="135"/>
    </row>
    <row r="672">
      <c r="D672" s="135"/>
    </row>
    <row r="673">
      <c r="D673" s="135"/>
    </row>
    <row r="674">
      <c r="D674" s="135"/>
    </row>
    <row r="675">
      <c r="D675" s="135"/>
    </row>
    <row r="676">
      <c r="D676" s="135"/>
    </row>
    <row r="677">
      <c r="D677" s="135"/>
    </row>
    <row r="678">
      <c r="D678" s="135"/>
    </row>
    <row r="679">
      <c r="D679" s="135"/>
    </row>
    <row r="680">
      <c r="D680" s="135"/>
    </row>
    <row r="681">
      <c r="D681" s="135"/>
    </row>
    <row r="682">
      <c r="D682" s="135"/>
    </row>
    <row r="683">
      <c r="D683" s="135"/>
    </row>
    <row r="684">
      <c r="D684" s="135"/>
    </row>
    <row r="685">
      <c r="D685" s="135"/>
    </row>
    <row r="686">
      <c r="D686" s="135"/>
    </row>
    <row r="687">
      <c r="D687" s="135"/>
    </row>
    <row r="688">
      <c r="D688" s="135"/>
    </row>
    <row r="689">
      <c r="D689" s="135"/>
    </row>
    <row r="690">
      <c r="D690" s="135"/>
    </row>
    <row r="691">
      <c r="D691" s="135"/>
    </row>
    <row r="692">
      <c r="D692" s="135"/>
    </row>
    <row r="693">
      <c r="D693" s="135"/>
    </row>
    <row r="694">
      <c r="D694" s="135"/>
    </row>
    <row r="695">
      <c r="D695" s="135"/>
    </row>
    <row r="696">
      <c r="D696" s="135"/>
    </row>
    <row r="697">
      <c r="D697" s="135"/>
    </row>
    <row r="698">
      <c r="D698" s="135"/>
    </row>
    <row r="699">
      <c r="D699" s="135"/>
    </row>
    <row r="700">
      <c r="D700" s="135"/>
    </row>
    <row r="701">
      <c r="D701" s="135"/>
    </row>
    <row r="702">
      <c r="D702" s="135"/>
    </row>
    <row r="703">
      <c r="D703" s="135"/>
    </row>
    <row r="704">
      <c r="D704" s="135"/>
    </row>
    <row r="705">
      <c r="D705" s="135"/>
    </row>
    <row r="706">
      <c r="D706" s="135"/>
    </row>
    <row r="707">
      <c r="D707" s="135"/>
    </row>
    <row r="708">
      <c r="D708" s="135"/>
    </row>
    <row r="709">
      <c r="D709" s="135"/>
    </row>
    <row r="710">
      <c r="D710" s="135"/>
    </row>
    <row r="711">
      <c r="D711" s="135"/>
    </row>
    <row r="712">
      <c r="D712" s="135"/>
    </row>
    <row r="713">
      <c r="D713" s="135"/>
    </row>
    <row r="714">
      <c r="D714" s="135"/>
    </row>
    <row r="715">
      <c r="D715" s="135"/>
    </row>
    <row r="716">
      <c r="D716" s="135"/>
    </row>
    <row r="717">
      <c r="D717" s="135"/>
    </row>
    <row r="718">
      <c r="D718" s="135"/>
    </row>
    <row r="719">
      <c r="D719" s="135"/>
    </row>
    <row r="720">
      <c r="D720" s="135"/>
    </row>
    <row r="721">
      <c r="D721" s="135"/>
    </row>
    <row r="722">
      <c r="D722" s="135"/>
    </row>
    <row r="723">
      <c r="D723" s="135"/>
    </row>
    <row r="724">
      <c r="D724" s="135"/>
    </row>
    <row r="725">
      <c r="D725" s="135"/>
    </row>
    <row r="726">
      <c r="D726" s="135"/>
    </row>
    <row r="727">
      <c r="D727" s="135"/>
    </row>
    <row r="728">
      <c r="D728" s="135"/>
    </row>
    <row r="729">
      <c r="D729" s="135"/>
    </row>
    <row r="730">
      <c r="D730" s="135"/>
    </row>
    <row r="731">
      <c r="D731" s="135"/>
    </row>
    <row r="732">
      <c r="D732" s="135"/>
    </row>
    <row r="733">
      <c r="D733" s="135"/>
    </row>
    <row r="734">
      <c r="D734" s="135"/>
    </row>
    <row r="735">
      <c r="D735" s="135"/>
    </row>
    <row r="736">
      <c r="D736" s="135"/>
    </row>
    <row r="737">
      <c r="D737" s="135"/>
    </row>
    <row r="738">
      <c r="D738" s="135"/>
    </row>
    <row r="739">
      <c r="D739" s="135"/>
    </row>
    <row r="740">
      <c r="D740" s="135"/>
    </row>
    <row r="741">
      <c r="D741" s="135"/>
    </row>
    <row r="742">
      <c r="D742" s="135"/>
    </row>
    <row r="743">
      <c r="D743" s="135"/>
    </row>
    <row r="744">
      <c r="D744" s="135"/>
    </row>
    <row r="745">
      <c r="D745" s="135"/>
    </row>
    <row r="746">
      <c r="D746" s="135"/>
    </row>
    <row r="747">
      <c r="D747" s="135"/>
    </row>
    <row r="748">
      <c r="D748" s="135"/>
    </row>
    <row r="749">
      <c r="D749" s="135"/>
    </row>
    <row r="750">
      <c r="D750" s="135"/>
    </row>
    <row r="751">
      <c r="D751" s="135"/>
    </row>
    <row r="752">
      <c r="D752" s="135"/>
    </row>
    <row r="753">
      <c r="D753" s="135"/>
    </row>
    <row r="754">
      <c r="D754" s="135"/>
    </row>
    <row r="755">
      <c r="D755" s="135"/>
    </row>
    <row r="756">
      <c r="D756" s="135"/>
    </row>
    <row r="757">
      <c r="D757" s="135"/>
    </row>
    <row r="758">
      <c r="D758" s="135"/>
    </row>
    <row r="759">
      <c r="D759" s="135"/>
    </row>
    <row r="760">
      <c r="D760" s="135"/>
    </row>
    <row r="761">
      <c r="D761" s="135"/>
    </row>
    <row r="762">
      <c r="D762" s="135"/>
    </row>
    <row r="763">
      <c r="D763" s="135"/>
    </row>
    <row r="764">
      <c r="D764" s="135"/>
    </row>
    <row r="765">
      <c r="D765" s="135"/>
    </row>
    <row r="766">
      <c r="D766" s="135"/>
    </row>
    <row r="767">
      <c r="D767" s="135"/>
    </row>
    <row r="768">
      <c r="D768" s="135"/>
    </row>
    <row r="769">
      <c r="D769" s="135"/>
    </row>
    <row r="770">
      <c r="D770" s="135"/>
    </row>
    <row r="771">
      <c r="D771" s="135"/>
    </row>
    <row r="772">
      <c r="D772" s="135"/>
    </row>
    <row r="773">
      <c r="D773" s="135"/>
    </row>
    <row r="774">
      <c r="D774" s="135"/>
    </row>
    <row r="775">
      <c r="D775" s="135"/>
    </row>
    <row r="776">
      <c r="D776" s="135"/>
    </row>
    <row r="777">
      <c r="D777" s="135"/>
    </row>
    <row r="778">
      <c r="D778" s="135"/>
    </row>
    <row r="779">
      <c r="D779" s="135"/>
    </row>
    <row r="780">
      <c r="D780" s="135"/>
    </row>
    <row r="781">
      <c r="D781" s="135"/>
    </row>
    <row r="782">
      <c r="D782" s="135"/>
    </row>
    <row r="783">
      <c r="D783" s="135"/>
    </row>
    <row r="784">
      <c r="D784" s="135"/>
    </row>
    <row r="785">
      <c r="D785" s="135"/>
    </row>
    <row r="786">
      <c r="D786" s="135"/>
    </row>
    <row r="787">
      <c r="D787" s="135"/>
    </row>
    <row r="788">
      <c r="D788" s="135"/>
    </row>
    <row r="789">
      <c r="D789" s="135"/>
    </row>
    <row r="790">
      <c r="D790" s="135"/>
    </row>
    <row r="791">
      <c r="D791" s="135"/>
    </row>
    <row r="792">
      <c r="D792" s="135"/>
    </row>
    <row r="793">
      <c r="D793" s="135"/>
    </row>
    <row r="794">
      <c r="D794" s="135"/>
    </row>
    <row r="795">
      <c r="D795" s="135"/>
    </row>
    <row r="796">
      <c r="D796" s="135"/>
    </row>
    <row r="797">
      <c r="D797" s="135"/>
    </row>
    <row r="798">
      <c r="D798" s="135"/>
    </row>
    <row r="799">
      <c r="D799" s="135"/>
    </row>
    <row r="800">
      <c r="D800" s="135"/>
    </row>
    <row r="801">
      <c r="D801" s="135"/>
    </row>
    <row r="802">
      <c r="D802" s="135"/>
    </row>
    <row r="803">
      <c r="D803" s="135"/>
    </row>
    <row r="804">
      <c r="D804" s="135"/>
    </row>
    <row r="805">
      <c r="D805" s="135"/>
    </row>
    <row r="806">
      <c r="D806" s="135"/>
    </row>
    <row r="807">
      <c r="D807" s="135"/>
    </row>
    <row r="808">
      <c r="D808" s="135"/>
    </row>
    <row r="809">
      <c r="D809" s="135"/>
    </row>
    <row r="810">
      <c r="D810" s="135"/>
    </row>
    <row r="811">
      <c r="D811" s="135"/>
    </row>
    <row r="812">
      <c r="D812" s="135"/>
    </row>
    <row r="813">
      <c r="D813" s="135"/>
    </row>
    <row r="814">
      <c r="D814" s="135"/>
    </row>
    <row r="815">
      <c r="D815" s="135"/>
    </row>
    <row r="816">
      <c r="D816" s="135"/>
    </row>
    <row r="817">
      <c r="D817" s="135"/>
    </row>
    <row r="818">
      <c r="D818" s="135"/>
    </row>
    <row r="819">
      <c r="D819" s="135"/>
    </row>
    <row r="820">
      <c r="D820" s="135"/>
    </row>
    <row r="821">
      <c r="D821" s="135"/>
    </row>
    <row r="822">
      <c r="D822" s="135"/>
    </row>
    <row r="823">
      <c r="D823" s="135"/>
    </row>
    <row r="824">
      <c r="D824" s="135"/>
    </row>
    <row r="825">
      <c r="D825" s="135"/>
    </row>
    <row r="826">
      <c r="D826" s="135"/>
    </row>
    <row r="827">
      <c r="D827" s="135"/>
    </row>
    <row r="828">
      <c r="D828" s="135"/>
    </row>
    <row r="829">
      <c r="D829" s="135"/>
    </row>
    <row r="830">
      <c r="D830" s="135"/>
    </row>
    <row r="831">
      <c r="D831" s="135"/>
    </row>
    <row r="832">
      <c r="D832" s="135"/>
    </row>
    <row r="833">
      <c r="D833" s="135"/>
    </row>
    <row r="834">
      <c r="D834" s="135"/>
    </row>
    <row r="835">
      <c r="D835" s="135"/>
    </row>
    <row r="836">
      <c r="D836" s="135"/>
    </row>
    <row r="837">
      <c r="D837" s="135"/>
    </row>
    <row r="838">
      <c r="D838" s="135"/>
    </row>
    <row r="839">
      <c r="D839" s="135"/>
    </row>
    <row r="840">
      <c r="D840" s="135"/>
    </row>
    <row r="841">
      <c r="D841" s="135"/>
    </row>
    <row r="842">
      <c r="D842" s="135"/>
    </row>
    <row r="843">
      <c r="D843" s="135"/>
    </row>
    <row r="844">
      <c r="D844" s="135"/>
    </row>
    <row r="845">
      <c r="D845" s="135"/>
    </row>
    <row r="846">
      <c r="D846" s="135"/>
    </row>
    <row r="847">
      <c r="D847" s="135"/>
    </row>
    <row r="848">
      <c r="D848" s="135"/>
    </row>
    <row r="849">
      <c r="D849" s="135"/>
    </row>
    <row r="850">
      <c r="D850" s="135"/>
    </row>
    <row r="851">
      <c r="D851" s="135"/>
    </row>
    <row r="852">
      <c r="D852" s="135"/>
    </row>
    <row r="853">
      <c r="D853" s="135"/>
    </row>
    <row r="854">
      <c r="D854" s="135"/>
    </row>
    <row r="855">
      <c r="D855" s="135"/>
    </row>
    <row r="856">
      <c r="D856" s="135"/>
    </row>
    <row r="857">
      <c r="D857" s="135"/>
    </row>
    <row r="858">
      <c r="D858" s="135"/>
    </row>
    <row r="859">
      <c r="D859" s="135"/>
    </row>
    <row r="860">
      <c r="D860" s="135"/>
    </row>
    <row r="861">
      <c r="D861" s="135"/>
    </row>
    <row r="862">
      <c r="D862" s="135"/>
    </row>
    <row r="863">
      <c r="D863" s="135"/>
    </row>
    <row r="864">
      <c r="D864" s="135"/>
    </row>
    <row r="865">
      <c r="D865" s="135"/>
    </row>
    <row r="866">
      <c r="D866" s="135"/>
    </row>
    <row r="867">
      <c r="D867" s="135"/>
    </row>
    <row r="868">
      <c r="D868" s="135"/>
    </row>
    <row r="869">
      <c r="D869" s="135"/>
    </row>
    <row r="870">
      <c r="D870" s="135"/>
    </row>
    <row r="871">
      <c r="D871" s="135"/>
    </row>
    <row r="872">
      <c r="D872" s="135"/>
    </row>
    <row r="873">
      <c r="D873" s="135"/>
    </row>
    <row r="874">
      <c r="D874" s="135"/>
    </row>
    <row r="875">
      <c r="D875" s="135"/>
    </row>
    <row r="876">
      <c r="D876" s="135"/>
    </row>
    <row r="877">
      <c r="D877" s="135"/>
    </row>
    <row r="878">
      <c r="D878" s="135"/>
    </row>
    <row r="879">
      <c r="D879" s="135"/>
    </row>
    <row r="880">
      <c r="D880" s="135"/>
    </row>
    <row r="881">
      <c r="D881" s="135"/>
    </row>
    <row r="882">
      <c r="D882" s="135"/>
    </row>
    <row r="883">
      <c r="D883" s="135"/>
    </row>
    <row r="884">
      <c r="D884" s="135"/>
    </row>
    <row r="885">
      <c r="D885" s="135"/>
    </row>
    <row r="886">
      <c r="D886" s="135"/>
    </row>
    <row r="887">
      <c r="D887" s="135"/>
    </row>
    <row r="888">
      <c r="D888" s="135"/>
    </row>
    <row r="889">
      <c r="D889" s="135"/>
    </row>
    <row r="890">
      <c r="D890" s="135"/>
    </row>
    <row r="891">
      <c r="D891" s="135"/>
    </row>
    <row r="892">
      <c r="D892" s="135"/>
    </row>
    <row r="893">
      <c r="D893" s="135"/>
    </row>
    <row r="894">
      <c r="D894" s="135"/>
    </row>
    <row r="895">
      <c r="D895" s="135"/>
    </row>
    <row r="896">
      <c r="D896" s="135"/>
    </row>
    <row r="897">
      <c r="D897" s="135"/>
    </row>
    <row r="898">
      <c r="D898" s="135"/>
    </row>
    <row r="899">
      <c r="D899" s="135"/>
    </row>
    <row r="900">
      <c r="D900" s="135"/>
    </row>
    <row r="901">
      <c r="D901" s="135"/>
    </row>
    <row r="902">
      <c r="D902" s="135"/>
    </row>
    <row r="903">
      <c r="D903" s="135"/>
    </row>
    <row r="904">
      <c r="D904" s="135"/>
    </row>
    <row r="905">
      <c r="D905" s="135"/>
    </row>
    <row r="906">
      <c r="D906" s="135"/>
    </row>
    <row r="907">
      <c r="D907" s="135"/>
    </row>
    <row r="908">
      <c r="D908" s="135"/>
    </row>
    <row r="909">
      <c r="D909" s="135"/>
    </row>
    <row r="910">
      <c r="D910" s="135"/>
    </row>
    <row r="911">
      <c r="D911" s="135"/>
    </row>
    <row r="912">
      <c r="D912" s="135"/>
    </row>
    <row r="913">
      <c r="D913" s="135"/>
    </row>
    <row r="914">
      <c r="D914" s="135"/>
    </row>
    <row r="915">
      <c r="D915" s="135"/>
    </row>
    <row r="916">
      <c r="D916" s="135"/>
    </row>
    <row r="917">
      <c r="D917" s="135"/>
    </row>
    <row r="918">
      <c r="D918" s="135"/>
    </row>
    <row r="919">
      <c r="D919" s="135"/>
    </row>
    <row r="920">
      <c r="D920" s="135"/>
    </row>
    <row r="921">
      <c r="D921" s="135"/>
    </row>
    <row r="922">
      <c r="D922" s="135"/>
    </row>
    <row r="923">
      <c r="D923" s="135"/>
    </row>
    <row r="924">
      <c r="D924" s="135"/>
    </row>
    <row r="925">
      <c r="D925" s="135"/>
    </row>
    <row r="926">
      <c r="D926" s="135"/>
    </row>
    <row r="927">
      <c r="D927" s="135"/>
    </row>
    <row r="928">
      <c r="D928" s="135"/>
    </row>
    <row r="929">
      <c r="D929" s="135"/>
    </row>
    <row r="930">
      <c r="D930" s="135"/>
    </row>
    <row r="931">
      <c r="D931" s="135"/>
    </row>
    <row r="932">
      <c r="D932" s="135"/>
    </row>
    <row r="933">
      <c r="D933" s="135"/>
    </row>
    <row r="934">
      <c r="D934" s="135"/>
    </row>
    <row r="935">
      <c r="D935" s="135"/>
    </row>
    <row r="936">
      <c r="D936" s="135"/>
    </row>
    <row r="937">
      <c r="D937" s="135"/>
    </row>
    <row r="938">
      <c r="D938" s="135"/>
    </row>
    <row r="939">
      <c r="D939" s="135"/>
    </row>
    <row r="940">
      <c r="D940" s="135"/>
    </row>
    <row r="941">
      <c r="D941" s="135"/>
    </row>
    <row r="942">
      <c r="D942" s="135"/>
    </row>
    <row r="943">
      <c r="D943" s="135"/>
    </row>
    <row r="944">
      <c r="D944" s="135"/>
    </row>
    <row r="945">
      <c r="D945" s="135"/>
    </row>
    <row r="946">
      <c r="D946" s="135"/>
    </row>
    <row r="947">
      <c r="D947" s="135"/>
    </row>
    <row r="948">
      <c r="D948" s="135"/>
    </row>
    <row r="949">
      <c r="D949" s="135"/>
    </row>
    <row r="950">
      <c r="D950" s="135"/>
    </row>
    <row r="951">
      <c r="D951" s="135"/>
    </row>
    <row r="952">
      <c r="D952" s="135"/>
    </row>
    <row r="953">
      <c r="D953" s="135"/>
    </row>
    <row r="954">
      <c r="D954" s="135"/>
    </row>
    <row r="955">
      <c r="D955" s="135"/>
    </row>
    <row r="956">
      <c r="D956" s="135"/>
    </row>
    <row r="957">
      <c r="D957" s="135"/>
    </row>
    <row r="958">
      <c r="D958" s="135"/>
    </row>
    <row r="959">
      <c r="D959" s="135"/>
    </row>
    <row r="960">
      <c r="D960" s="135"/>
    </row>
    <row r="961">
      <c r="D961" s="135"/>
    </row>
    <row r="962">
      <c r="D962" s="135"/>
    </row>
    <row r="963">
      <c r="D963" s="135"/>
    </row>
    <row r="964">
      <c r="D964" s="135"/>
    </row>
    <row r="965">
      <c r="D965" s="135"/>
    </row>
    <row r="966">
      <c r="D966" s="135"/>
    </row>
    <row r="967">
      <c r="D967" s="135"/>
    </row>
    <row r="968">
      <c r="D968" s="135"/>
    </row>
    <row r="969">
      <c r="D969" s="135"/>
    </row>
    <row r="970">
      <c r="D970" s="135"/>
    </row>
    <row r="971">
      <c r="D971" s="135"/>
    </row>
    <row r="972">
      <c r="D972" s="135"/>
    </row>
    <row r="973">
      <c r="D973" s="135"/>
    </row>
    <row r="974">
      <c r="D974" s="135"/>
    </row>
    <row r="975">
      <c r="D975" s="135"/>
    </row>
    <row r="976">
      <c r="D976" s="135"/>
    </row>
    <row r="977">
      <c r="D977" s="135"/>
    </row>
    <row r="978">
      <c r="D978" s="135"/>
    </row>
    <row r="979">
      <c r="D979" s="135"/>
    </row>
    <row r="980">
      <c r="D980" s="135"/>
    </row>
    <row r="981">
      <c r="D981" s="135"/>
    </row>
    <row r="982">
      <c r="D982" s="135"/>
    </row>
    <row r="983">
      <c r="D983" s="135"/>
    </row>
    <row r="984">
      <c r="D984" s="135"/>
    </row>
    <row r="985">
      <c r="D985" s="13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D8"/>
    <hyperlink r:id="rId8" ref="F8"/>
    <hyperlink r:id="rId9" ref="D9"/>
    <hyperlink r:id="rId10" ref="D10"/>
    <hyperlink r:id="rId11" ref="F10"/>
    <hyperlink r:id="rId12" ref="D11"/>
    <hyperlink r:id="rId13" ref="D12"/>
    <hyperlink r:id="rId14" ref="D13"/>
    <hyperlink r:id="rId15" ref="D14"/>
    <hyperlink r:id="rId16" ref="F14"/>
    <hyperlink r:id="rId17" ref="D15"/>
    <hyperlink r:id="rId18" ref="F15"/>
    <hyperlink r:id="rId19" ref="D16"/>
    <hyperlink r:id="rId20" ref="F16"/>
    <hyperlink r:id="rId21" ref="D17"/>
    <hyperlink r:id="rId22" ref="F17"/>
  </hyperlinks>
  <drawing r:id="rId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71"/>
    <col customWidth="1" min="2" max="2" width="11.43"/>
    <col customWidth="1" min="3" max="3" width="12.0"/>
    <col customWidth="1" min="4" max="4" width="68.14"/>
    <col customWidth="1" min="5" max="5" width="13.43"/>
    <col customWidth="1" min="6" max="6" width="29.71"/>
    <col customWidth="1" min="7" max="7" width="16.0"/>
    <col customWidth="1" min="8" max="8" width="51.14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8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40"/>
    </row>
    <row r="2">
      <c r="A2" s="37" t="s">
        <v>2263</v>
      </c>
      <c r="B2" s="37" t="s">
        <v>2264</v>
      </c>
      <c r="C2" s="37" t="s">
        <v>90</v>
      </c>
      <c r="D2" s="38" t="s">
        <v>2265</v>
      </c>
      <c r="E2" s="37" t="s">
        <v>2266</v>
      </c>
      <c r="F2" s="45" t="s">
        <v>2267</v>
      </c>
      <c r="G2" s="37"/>
      <c r="H2" s="37" t="s">
        <v>2268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 t="s">
        <v>412</v>
      </c>
      <c r="V2" s="37"/>
      <c r="W2" s="37"/>
      <c r="X2" s="37"/>
      <c r="Y2" s="37"/>
      <c r="Z2" s="44"/>
    </row>
    <row r="3">
      <c r="A3" s="174" t="s">
        <v>2269</v>
      </c>
      <c r="B3" s="37" t="s">
        <v>2264</v>
      </c>
      <c r="C3" s="37" t="s">
        <v>90</v>
      </c>
      <c r="D3" s="38" t="s">
        <v>2265</v>
      </c>
      <c r="E3" s="37" t="s">
        <v>2270</v>
      </c>
      <c r="F3" s="45" t="s">
        <v>2271</v>
      </c>
      <c r="G3" s="37"/>
      <c r="H3" s="37" t="s">
        <v>2272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 t="s">
        <v>412</v>
      </c>
      <c r="V3" s="37"/>
      <c r="W3" s="37"/>
      <c r="X3" s="37"/>
      <c r="Y3" s="37" t="s">
        <v>412</v>
      </c>
      <c r="Z3" s="44"/>
    </row>
    <row r="4">
      <c r="A4" s="174" t="s">
        <v>2273</v>
      </c>
      <c r="B4" s="37" t="s">
        <v>2264</v>
      </c>
      <c r="C4" s="37" t="s">
        <v>90</v>
      </c>
      <c r="D4" s="38" t="s">
        <v>2265</v>
      </c>
      <c r="E4" s="37" t="s">
        <v>2274</v>
      </c>
      <c r="F4" s="45" t="s">
        <v>2275</v>
      </c>
      <c r="G4" s="37"/>
      <c r="H4" s="37" t="s">
        <v>2276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 t="s">
        <v>412</v>
      </c>
      <c r="V4" s="37"/>
      <c r="W4" s="37"/>
      <c r="X4" s="37"/>
      <c r="Y4" s="37"/>
      <c r="Z4" s="44"/>
    </row>
    <row r="5">
      <c r="A5" s="37" t="s">
        <v>2277</v>
      </c>
      <c r="B5" s="37" t="s">
        <v>2264</v>
      </c>
      <c r="C5" s="37" t="s">
        <v>3429</v>
      </c>
      <c r="D5" s="38" t="s">
        <v>2265</v>
      </c>
      <c r="E5" s="37" t="s">
        <v>2278</v>
      </c>
      <c r="F5" s="45" t="s">
        <v>2279</v>
      </c>
      <c r="G5" s="37"/>
      <c r="H5" s="37" t="s">
        <v>2280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 t="s">
        <v>412</v>
      </c>
      <c r="V5" s="37"/>
      <c r="W5" s="37"/>
      <c r="X5" s="37"/>
      <c r="Y5" s="37"/>
      <c r="Z5" s="44"/>
    </row>
    <row r="6">
      <c r="A6" s="37" t="s">
        <v>2281</v>
      </c>
      <c r="B6" s="37" t="s">
        <v>2264</v>
      </c>
      <c r="C6" s="37" t="s">
        <v>3429</v>
      </c>
      <c r="D6" s="38" t="s">
        <v>2265</v>
      </c>
      <c r="E6" s="37" t="s">
        <v>2282</v>
      </c>
      <c r="F6" s="45" t="s">
        <v>2283</v>
      </c>
      <c r="G6" s="37"/>
      <c r="H6" s="37" t="s">
        <v>2284</v>
      </c>
      <c r="I6" s="37">
        <v>64.0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 t="s">
        <v>412</v>
      </c>
      <c r="V6" s="37"/>
      <c r="W6" s="37"/>
      <c r="X6" s="37"/>
      <c r="Y6" s="37"/>
      <c r="Z6" s="44"/>
    </row>
    <row r="7">
      <c r="A7" s="37" t="s">
        <v>2285</v>
      </c>
      <c r="B7" s="37" t="s">
        <v>2264</v>
      </c>
      <c r="C7" s="37" t="s">
        <v>3443</v>
      </c>
      <c r="D7" s="38" t="s">
        <v>2286</v>
      </c>
      <c r="E7" s="37" t="s">
        <v>2287</v>
      </c>
      <c r="F7" s="37" t="s">
        <v>2288</v>
      </c>
      <c r="G7" s="37"/>
      <c r="H7" s="37" t="s">
        <v>2289</v>
      </c>
      <c r="I7" s="37"/>
      <c r="J7" s="37" t="s">
        <v>412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44"/>
    </row>
    <row r="8">
      <c r="A8" s="37" t="s">
        <v>2290</v>
      </c>
      <c r="B8" s="37" t="s">
        <v>2264</v>
      </c>
      <c r="C8" s="37" t="s">
        <v>112</v>
      </c>
      <c r="D8" s="42"/>
      <c r="E8" s="37" t="s">
        <v>2291</v>
      </c>
      <c r="F8" s="37" t="s">
        <v>2292</v>
      </c>
      <c r="G8" s="37" t="s">
        <v>2293</v>
      </c>
      <c r="H8" s="37" t="s">
        <v>2294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37" t="s">
        <v>2295</v>
      </c>
      <c r="B9" s="37" t="s">
        <v>2264</v>
      </c>
      <c r="C9" s="37" t="s">
        <v>112</v>
      </c>
      <c r="D9" s="42"/>
      <c r="E9" s="37" t="s">
        <v>2296</v>
      </c>
      <c r="F9" s="37" t="s">
        <v>2297</v>
      </c>
      <c r="G9" s="37" t="s">
        <v>2298</v>
      </c>
      <c r="H9" s="37" t="s">
        <v>2299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37" t="s">
        <v>2300</v>
      </c>
      <c r="B10" s="37" t="s">
        <v>2301</v>
      </c>
      <c r="C10" s="37" t="s">
        <v>112</v>
      </c>
      <c r="D10" s="42"/>
      <c r="E10" s="37" t="s">
        <v>2302</v>
      </c>
      <c r="F10" s="37" t="s">
        <v>2303</v>
      </c>
      <c r="G10" s="37" t="s">
        <v>2304</v>
      </c>
      <c r="H10" s="37" t="s">
        <v>2305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37" t="s">
        <v>2306</v>
      </c>
      <c r="B11" s="37" t="s">
        <v>2301</v>
      </c>
      <c r="C11" s="37" t="s">
        <v>112</v>
      </c>
      <c r="D11" s="42"/>
      <c r="E11" s="37" t="s">
        <v>2307</v>
      </c>
      <c r="F11" s="37" t="s">
        <v>2308</v>
      </c>
      <c r="G11" s="37" t="s">
        <v>2309</v>
      </c>
      <c r="H11" s="37" t="s">
        <v>2310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37" t="s">
        <v>2311</v>
      </c>
      <c r="B12" s="37" t="s">
        <v>2301</v>
      </c>
      <c r="C12" s="37" t="s">
        <v>112</v>
      </c>
      <c r="D12" s="42"/>
      <c r="E12" s="37" t="s">
        <v>2312</v>
      </c>
      <c r="F12" s="37" t="s">
        <v>2313</v>
      </c>
      <c r="G12" s="37" t="s">
        <v>2314</v>
      </c>
      <c r="H12" s="37" t="s">
        <v>2315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37" t="s">
        <v>2316</v>
      </c>
      <c r="B13" s="37" t="s">
        <v>2301</v>
      </c>
      <c r="C13" s="37" t="s">
        <v>3435</v>
      </c>
      <c r="D13" s="38" t="s">
        <v>2317</v>
      </c>
      <c r="E13" s="37" t="s">
        <v>2318</v>
      </c>
      <c r="F13" s="37" t="s">
        <v>2319</v>
      </c>
      <c r="G13" s="37" t="s">
        <v>2320</v>
      </c>
      <c r="H13" s="37" t="s">
        <v>2321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37" t="s">
        <v>2322</v>
      </c>
      <c r="B14" s="37" t="s">
        <v>2301</v>
      </c>
      <c r="C14" s="37" t="s">
        <v>3435</v>
      </c>
      <c r="D14" s="38" t="s">
        <v>2317</v>
      </c>
      <c r="E14" s="37"/>
      <c r="F14" s="37" t="s">
        <v>2323</v>
      </c>
      <c r="G14" s="37" t="s">
        <v>2324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37" t="s">
        <v>2325</v>
      </c>
      <c r="B15" s="37" t="s">
        <v>2301</v>
      </c>
      <c r="C15" s="37" t="s">
        <v>3435</v>
      </c>
      <c r="D15" s="38" t="s">
        <v>2317</v>
      </c>
      <c r="E15" s="37"/>
      <c r="F15" s="37" t="s">
        <v>2326</v>
      </c>
      <c r="G15" s="37" t="s">
        <v>2327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37" t="s">
        <v>2328</v>
      </c>
      <c r="B16" s="37" t="s">
        <v>2264</v>
      </c>
      <c r="C16" s="37" t="s">
        <v>3435</v>
      </c>
      <c r="D16" s="38" t="s">
        <v>2317</v>
      </c>
      <c r="E16" s="37"/>
      <c r="F16" s="37" t="s">
        <v>2329</v>
      </c>
      <c r="G16" s="37" t="s">
        <v>2330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37" t="s">
        <v>2331</v>
      </c>
      <c r="B17" s="37" t="s">
        <v>2264</v>
      </c>
      <c r="C17" s="37" t="s">
        <v>211</v>
      </c>
      <c r="D17" s="38" t="s">
        <v>2332</v>
      </c>
      <c r="E17" s="37" t="s">
        <v>2333</v>
      </c>
      <c r="F17" s="37" t="s">
        <v>2334</v>
      </c>
      <c r="G17" s="37" t="s">
        <v>2335</v>
      </c>
      <c r="H17" s="37" t="s">
        <v>2336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37" t="s">
        <v>2337</v>
      </c>
      <c r="B18" s="37" t="s">
        <v>2264</v>
      </c>
      <c r="C18" s="37" t="s">
        <v>211</v>
      </c>
      <c r="D18" s="38" t="s">
        <v>2338</v>
      </c>
      <c r="E18" s="37" t="s">
        <v>2339</v>
      </c>
      <c r="F18" s="37"/>
      <c r="G18" s="37" t="s">
        <v>2340</v>
      </c>
      <c r="H18" s="37" t="s">
        <v>2341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37" t="s">
        <v>2342</v>
      </c>
      <c r="B19" s="37" t="s">
        <v>2264</v>
      </c>
      <c r="C19" s="37" t="s">
        <v>211</v>
      </c>
      <c r="D19" s="38" t="s">
        <v>2343</v>
      </c>
      <c r="E19" s="37" t="s">
        <v>2344</v>
      </c>
      <c r="F19" s="37"/>
      <c r="G19" s="37" t="s">
        <v>2345</v>
      </c>
      <c r="H19" s="37" t="s">
        <v>2346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37" t="s">
        <v>2347</v>
      </c>
      <c r="B20" s="37" t="s">
        <v>2264</v>
      </c>
      <c r="C20" s="37" t="s">
        <v>211</v>
      </c>
      <c r="D20" s="38" t="s">
        <v>2348</v>
      </c>
      <c r="E20" s="37" t="s">
        <v>2349</v>
      </c>
      <c r="F20" s="37"/>
      <c r="G20" s="37" t="s">
        <v>2350</v>
      </c>
      <c r="H20" s="37" t="s">
        <v>2351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37" t="s">
        <v>2352</v>
      </c>
      <c r="B21" s="37" t="s">
        <v>2264</v>
      </c>
      <c r="C21" s="37" t="s">
        <v>211</v>
      </c>
      <c r="D21" s="38" t="s">
        <v>2353</v>
      </c>
      <c r="E21" s="37" t="s">
        <v>2354</v>
      </c>
      <c r="F21" s="37"/>
      <c r="G21" s="37" t="s">
        <v>2355</v>
      </c>
      <c r="H21" s="37" t="s">
        <v>2336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37" t="s">
        <v>2356</v>
      </c>
      <c r="B22" s="37" t="s">
        <v>2264</v>
      </c>
      <c r="C22" s="37" t="s">
        <v>211</v>
      </c>
      <c r="D22" s="38" t="s">
        <v>2357</v>
      </c>
      <c r="E22" s="37" t="s">
        <v>2358</v>
      </c>
      <c r="F22" s="37"/>
      <c r="G22" s="37" t="s">
        <v>2359</v>
      </c>
      <c r="H22" s="37" t="s">
        <v>2360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37" t="s">
        <v>2361</v>
      </c>
      <c r="B23" s="37" t="s">
        <v>2264</v>
      </c>
      <c r="C23" s="37" t="s">
        <v>512</v>
      </c>
      <c r="D23" s="38" t="s">
        <v>2362</v>
      </c>
      <c r="E23" s="37">
        <v>5.3038295E7</v>
      </c>
      <c r="F23" s="37" t="s">
        <v>2363</v>
      </c>
      <c r="G23" s="37" t="s">
        <v>2364</v>
      </c>
      <c r="H23" s="37" t="s">
        <v>2365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37" t="s">
        <v>2366</v>
      </c>
      <c r="B24" s="37" t="s">
        <v>2264</v>
      </c>
      <c r="C24" s="37" t="s">
        <v>3384</v>
      </c>
      <c r="D24" s="38" t="s">
        <v>2367</v>
      </c>
      <c r="E24" s="37">
        <v>5.6605168E7</v>
      </c>
      <c r="F24" s="45" t="s">
        <v>2368</v>
      </c>
      <c r="G24" s="37"/>
      <c r="H24" s="37" t="s">
        <v>2369</v>
      </c>
      <c r="I24" s="37"/>
      <c r="J24" s="37" t="s">
        <v>412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37" t="s">
        <v>2370</v>
      </c>
      <c r="B25" s="37" t="s">
        <v>2264</v>
      </c>
      <c r="C25" s="37" t="s">
        <v>3458</v>
      </c>
      <c r="D25" s="38" t="s">
        <v>2371</v>
      </c>
      <c r="E25" s="37" t="s">
        <v>2372</v>
      </c>
      <c r="F25" s="45" t="s">
        <v>2373</v>
      </c>
      <c r="G25" s="37" t="s">
        <v>2374</v>
      </c>
      <c r="H25" s="37" t="s">
        <v>2375</v>
      </c>
      <c r="I25" s="37"/>
      <c r="J25" s="37"/>
      <c r="K25" s="37"/>
      <c r="L25" s="37"/>
      <c r="M25" s="37"/>
      <c r="N25" s="37"/>
      <c r="O25" s="37"/>
      <c r="P25" s="37"/>
      <c r="Q25" s="37"/>
      <c r="R25" s="37" t="s">
        <v>412</v>
      </c>
      <c r="S25" s="37"/>
      <c r="T25" s="37"/>
      <c r="U25" s="37"/>
      <c r="V25" s="37"/>
      <c r="W25" s="37"/>
      <c r="X25" s="37"/>
      <c r="Y25" s="37"/>
    </row>
    <row r="26">
      <c r="A26" s="37" t="s">
        <v>2376</v>
      </c>
      <c r="B26" s="37" t="s">
        <v>2264</v>
      </c>
      <c r="C26" s="37" t="s">
        <v>585</v>
      </c>
      <c r="D26" s="38" t="s">
        <v>2377</v>
      </c>
      <c r="E26" s="37" t="s">
        <v>2378</v>
      </c>
      <c r="F26" s="45" t="s">
        <v>2379</v>
      </c>
      <c r="G26" s="37" t="s">
        <v>2380</v>
      </c>
      <c r="H26" s="37" t="s">
        <v>2381</v>
      </c>
      <c r="I26" s="37"/>
      <c r="J26" s="37" t="s">
        <v>412</v>
      </c>
      <c r="K26" s="37" t="s">
        <v>3565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136" t="s">
        <v>2385</v>
      </c>
      <c r="B27" s="136" t="s">
        <v>2264</v>
      </c>
      <c r="C27" s="136" t="s">
        <v>3437</v>
      </c>
      <c r="D27" s="126"/>
      <c r="E27" s="136" t="s">
        <v>2386</v>
      </c>
      <c r="F27" s="136" t="s">
        <v>2387</v>
      </c>
      <c r="G27" s="136" t="s">
        <v>2388</v>
      </c>
      <c r="H27" s="136" t="s">
        <v>2389</v>
      </c>
      <c r="J27" s="136" t="s">
        <v>412</v>
      </c>
      <c r="K27" s="136" t="s">
        <v>3565</v>
      </c>
    </row>
    <row r="28">
      <c r="A28" s="136" t="s">
        <v>2390</v>
      </c>
      <c r="B28" s="136" t="s">
        <v>2264</v>
      </c>
      <c r="C28" s="136" t="s">
        <v>3554</v>
      </c>
      <c r="D28" s="126"/>
      <c r="F28" s="136" t="s">
        <v>2391</v>
      </c>
      <c r="G28" s="136" t="s">
        <v>2392</v>
      </c>
      <c r="H28" s="134"/>
    </row>
    <row r="29">
      <c r="D29" s="126"/>
      <c r="H29" s="134"/>
    </row>
    <row r="30">
      <c r="D30" s="126"/>
      <c r="H30" s="134"/>
    </row>
    <row r="31">
      <c r="D31" s="126"/>
      <c r="H31" s="134"/>
    </row>
    <row r="32">
      <c r="D32" s="126"/>
      <c r="H32" s="134"/>
    </row>
    <row r="33">
      <c r="D33" s="126"/>
      <c r="H33" s="134"/>
    </row>
    <row r="34">
      <c r="D34" s="126"/>
      <c r="H34" s="134"/>
    </row>
    <row r="35">
      <c r="D35" s="126"/>
      <c r="H35" s="134"/>
    </row>
    <row r="36">
      <c r="D36" s="126"/>
      <c r="H36" s="134"/>
    </row>
    <row r="37">
      <c r="D37" s="126"/>
      <c r="H37" s="134"/>
    </row>
    <row r="38">
      <c r="D38" s="126"/>
      <c r="H38" s="134"/>
    </row>
    <row r="39">
      <c r="D39" s="126"/>
      <c r="H39" s="134"/>
    </row>
    <row r="40">
      <c r="D40" s="126"/>
      <c r="H40" s="134"/>
    </row>
    <row r="41">
      <c r="D41" s="126"/>
      <c r="H41" s="134"/>
    </row>
    <row r="42">
      <c r="D42" s="126"/>
      <c r="H42" s="134"/>
    </row>
    <row r="43">
      <c r="D43" s="126"/>
      <c r="H43" s="134"/>
    </row>
    <row r="44">
      <c r="D44" s="126"/>
      <c r="H44" s="134"/>
    </row>
    <row r="45">
      <c r="D45" s="126"/>
      <c r="H45" s="134"/>
    </row>
    <row r="46">
      <c r="D46" s="126"/>
      <c r="H46" s="134"/>
    </row>
    <row r="47">
      <c r="D47" s="126"/>
      <c r="H47" s="134"/>
    </row>
    <row r="48">
      <c r="D48" s="126"/>
      <c r="H48" s="134"/>
    </row>
    <row r="49">
      <c r="D49" s="126"/>
      <c r="H49" s="134"/>
    </row>
    <row r="50">
      <c r="D50" s="126"/>
      <c r="H50" s="134"/>
    </row>
    <row r="51">
      <c r="D51" s="126"/>
      <c r="H51" s="134"/>
    </row>
    <row r="52">
      <c r="D52" s="126"/>
      <c r="H52" s="134"/>
    </row>
    <row r="53">
      <c r="D53" s="126"/>
      <c r="H53" s="134"/>
    </row>
    <row r="54">
      <c r="D54" s="126"/>
      <c r="H54" s="134"/>
    </row>
    <row r="55">
      <c r="D55" s="126"/>
      <c r="H55" s="134"/>
    </row>
    <row r="56">
      <c r="D56" s="126"/>
      <c r="H56" s="134"/>
    </row>
    <row r="57">
      <c r="D57" s="126"/>
      <c r="H57" s="134"/>
    </row>
    <row r="58">
      <c r="D58" s="126"/>
      <c r="H58" s="134"/>
    </row>
    <row r="59">
      <c r="D59" s="126"/>
      <c r="H59" s="134"/>
    </row>
    <row r="60">
      <c r="D60" s="126"/>
      <c r="H60" s="134"/>
    </row>
    <row r="61">
      <c r="D61" s="126"/>
      <c r="H61" s="134"/>
    </row>
    <row r="62">
      <c r="D62" s="126"/>
      <c r="H62" s="134"/>
    </row>
    <row r="63">
      <c r="D63" s="126"/>
      <c r="H63" s="134"/>
    </row>
    <row r="64">
      <c r="D64" s="126"/>
      <c r="H64" s="134"/>
    </row>
    <row r="65">
      <c r="D65" s="126"/>
      <c r="H65" s="134"/>
    </row>
    <row r="66">
      <c r="D66" s="126"/>
      <c r="H66" s="134"/>
    </row>
    <row r="67">
      <c r="D67" s="126"/>
      <c r="H67" s="134"/>
    </row>
    <row r="68">
      <c r="D68" s="126"/>
      <c r="H68" s="134"/>
    </row>
    <row r="69">
      <c r="D69" s="126"/>
      <c r="H69" s="134"/>
    </row>
    <row r="70">
      <c r="D70" s="126"/>
      <c r="H70" s="134"/>
    </row>
    <row r="71">
      <c r="D71" s="126"/>
      <c r="H71" s="134"/>
    </row>
    <row r="72">
      <c r="D72" s="126"/>
      <c r="H72" s="134"/>
    </row>
    <row r="73">
      <c r="D73" s="126"/>
      <c r="H73" s="134"/>
    </row>
    <row r="74">
      <c r="D74" s="126"/>
      <c r="H74" s="134"/>
    </row>
    <row r="75">
      <c r="D75" s="126"/>
      <c r="H75" s="134"/>
    </row>
    <row r="76">
      <c r="D76" s="126"/>
      <c r="H76" s="134"/>
    </row>
    <row r="77">
      <c r="D77" s="126"/>
      <c r="H77" s="134"/>
    </row>
    <row r="78">
      <c r="D78" s="126"/>
      <c r="H78" s="134"/>
    </row>
    <row r="79">
      <c r="D79" s="126"/>
      <c r="H79" s="134"/>
    </row>
    <row r="80">
      <c r="D80" s="126"/>
      <c r="H80" s="134"/>
    </row>
    <row r="81">
      <c r="D81" s="126"/>
      <c r="H81" s="134"/>
    </row>
    <row r="82">
      <c r="D82" s="126"/>
      <c r="H82" s="134"/>
    </row>
    <row r="83">
      <c r="D83" s="126"/>
      <c r="H83" s="134"/>
    </row>
    <row r="84">
      <c r="D84" s="126"/>
      <c r="H84" s="134"/>
    </row>
    <row r="85">
      <c r="D85" s="126"/>
      <c r="H85" s="134"/>
    </row>
    <row r="86">
      <c r="D86" s="126"/>
      <c r="H86" s="134"/>
    </row>
    <row r="87">
      <c r="D87" s="126"/>
      <c r="H87" s="134"/>
    </row>
    <row r="88">
      <c r="D88" s="126"/>
      <c r="H88" s="134"/>
    </row>
    <row r="89">
      <c r="D89" s="126"/>
      <c r="H89" s="134"/>
    </row>
    <row r="90">
      <c r="D90" s="126"/>
      <c r="H90" s="134"/>
    </row>
    <row r="91">
      <c r="D91" s="126"/>
      <c r="H91" s="134"/>
    </row>
    <row r="92">
      <c r="D92" s="126"/>
      <c r="H92" s="134"/>
    </row>
    <row r="93">
      <c r="D93" s="126"/>
      <c r="H93" s="134"/>
    </row>
    <row r="94">
      <c r="D94" s="126"/>
      <c r="H94" s="134"/>
    </row>
    <row r="95">
      <c r="D95" s="126"/>
      <c r="H95" s="134"/>
    </row>
    <row r="96">
      <c r="D96" s="126"/>
      <c r="H96" s="134"/>
    </row>
    <row r="97">
      <c r="D97" s="126"/>
      <c r="H97" s="134"/>
    </row>
    <row r="98">
      <c r="D98" s="126"/>
      <c r="H98" s="134"/>
    </row>
    <row r="99">
      <c r="D99" s="126"/>
      <c r="H99" s="134"/>
    </row>
    <row r="100">
      <c r="D100" s="126"/>
      <c r="H100" s="134"/>
    </row>
    <row r="101">
      <c r="D101" s="126"/>
      <c r="H101" s="134"/>
    </row>
    <row r="102">
      <c r="D102" s="126"/>
      <c r="H102" s="134"/>
    </row>
    <row r="103">
      <c r="D103" s="126"/>
      <c r="H103" s="134"/>
    </row>
    <row r="104">
      <c r="D104" s="126"/>
      <c r="H104" s="134"/>
    </row>
    <row r="105">
      <c r="D105" s="126"/>
      <c r="H105" s="134"/>
    </row>
    <row r="106">
      <c r="D106" s="126"/>
      <c r="H106" s="134"/>
    </row>
    <row r="107">
      <c r="D107" s="126"/>
      <c r="H107" s="134"/>
    </row>
    <row r="108">
      <c r="D108" s="126"/>
      <c r="H108" s="134"/>
    </row>
    <row r="109">
      <c r="D109" s="126"/>
      <c r="H109" s="134"/>
    </row>
    <row r="110">
      <c r="D110" s="126"/>
      <c r="H110" s="134"/>
    </row>
    <row r="111">
      <c r="D111" s="126"/>
      <c r="H111" s="134"/>
    </row>
    <row r="112">
      <c r="D112" s="126"/>
      <c r="H112" s="134"/>
    </row>
    <row r="113">
      <c r="D113" s="126"/>
      <c r="H113" s="134"/>
    </row>
    <row r="114">
      <c r="D114" s="126"/>
      <c r="H114" s="134"/>
    </row>
    <row r="115">
      <c r="D115" s="126"/>
      <c r="H115" s="134"/>
    </row>
    <row r="116">
      <c r="D116" s="126"/>
      <c r="H116" s="134"/>
    </row>
    <row r="117">
      <c r="D117" s="126"/>
      <c r="H117" s="134"/>
    </row>
    <row r="118">
      <c r="D118" s="126"/>
      <c r="H118" s="134"/>
    </row>
    <row r="119">
      <c r="D119" s="126"/>
      <c r="H119" s="134"/>
    </row>
    <row r="120">
      <c r="D120" s="126"/>
      <c r="H120" s="134"/>
    </row>
    <row r="121">
      <c r="D121" s="126"/>
      <c r="H121" s="134"/>
    </row>
    <row r="122">
      <c r="D122" s="126"/>
      <c r="H122" s="134"/>
    </row>
    <row r="123">
      <c r="D123" s="126"/>
      <c r="H123" s="134"/>
    </row>
    <row r="124">
      <c r="D124" s="126"/>
      <c r="H124" s="134"/>
    </row>
    <row r="125">
      <c r="D125" s="126"/>
      <c r="H125" s="134"/>
    </row>
    <row r="126">
      <c r="D126" s="126"/>
      <c r="H126" s="134"/>
    </row>
    <row r="127">
      <c r="D127" s="126"/>
      <c r="H127" s="134"/>
    </row>
    <row r="128">
      <c r="D128" s="126"/>
      <c r="H128" s="134"/>
    </row>
    <row r="129">
      <c r="D129" s="126"/>
      <c r="H129" s="134"/>
    </row>
    <row r="130">
      <c r="D130" s="126"/>
      <c r="H130" s="134"/>
    </row>
    <row r="131">
      <c r="D131" s="126"/>
      <c r="H131" s="134"/>
    </row>
    <row r="132">
      <c r="D132" s="126"/>
      <c r="H132" s="134"/>
    </row>
    <row r="133">
      <c r="D133" s="126"/>
      <c r="H133" s="134"/>
    </row>
    <row r="134">
      <c r="D134" s="126"/>
      <c r="H134" s="134"/>
    </row>
    <row r="135">
      <c r="D135" s="126"/>
      <c r="H135" s="134"/>
    </row>
    <row r="136">
      <c r="D136" s="126"/>
      <c r="H136" s="134"/>
    </row>
    <row r="137">
      <c r="D137" s="126"/>
      <c r="H137" s="134"/>
    </row>
    <row r="138">
      <c r="D138" s="126"/>
      <c r="H138" s="134"/>
    </row>
    <row r="139">
      <c r="D139" s="126"/>
      <c r="H139" s="134"/>
    </row>
    <row r="140">
      <c r="D140" s="126"/>
      <c r="H140" s="134"/>
    </row>
    <row r="141">
      <c r="D141" s="126"/>
      <c r="H141" s="134"/>
    </row>
    <row r="142">
      <c r="D142" s="126"/>
      <c r="H142" s="134"/>
    </row>
    <row r="143">
      <c r="D143" s="126"/>
      <c r="H143" s="134"/>
    </row>
    <row r="144">
      <c r="D144" s="126"/>
      <c r="H144" s="134"/>
    </row>
    <row r="145">
      <c r="D145" s="126"/>
      <c r="H145" s="134"/>
    </row>
    <row r="146">
      <c r="D146" s="126"/>
      <c r="H146" s="134"/>
    </row>
    <row r="147">
      <c r="D147" s="126"/>
      <c r="H147" s="134"/>
    </row>
    <row r="148">
      <c r="D148" s="126"/>
      <c r="H148" s="134"/>
    </row>
    <row r="149">
      <c r="D149" s="126"/>
      <c r="H149" s="134"/>
    </row>
    <row r="150">
      <c r="D150" s="126"/>
      <c r="H150" s="134"/>
    </row>
    <row r="151">
      <c r="D151" s="126"/>
      <c r="H151" s="134"/>
    </row>
    <row r="152">
      <c r="D152" s="126"/>
      <c r="H152" s="134"/>
    </row>
    <row r="153">
      <c r="D153" s="126"/>
      <c r="H153" s="134"/>
    </row>
    <row r="154">
      <c r="D154" s="126"/>
      <c r="H154" s="134"/>
    </row>
    <row r="155">
      <c r="D155" s="126"/>
      <c r="H155" s="134"/>
    </row>
    <row r="156">
      <c r="D156" s="126"/>
      <c r="H156" s="134"/>
    </row>
    <row r="157">
      <c r="D157" s="126"/>
      <c r="H157" s="134"/>
    </row>
    <row r="158">
      <c r="D158" s="126"/>
      <c r="H158" s="134"/>
    </row>
    <row r="159">
      <c r="D159" s="126"/>
      <c r="H159" s="134"/>
    </row>
    <row r="160">
      <c r="D160" s="126"/>
      <c r="H160" s="134"/>
    </row>
    <row r="161">
      <c r="D161" s="126"/>
      <c r="H161" s="134"/>
    </row>
    <row r="162">
      <c r="D162" s="126"/>
      <c r="H162" s="134"/>
    </row>
    <row r="163">
      <c r="D163" s="126"/>
      <c r="H163" s="134"/>
    </row>
    <row r="164">
      <c r="D164" s="126"/>
      <c r="H164" s="134"/>
    </row>
    <row r="165">
      <c r="D165" s="126"/>
      <c r="H165" s="134"/>
    </row>
    <row r="166">
      <c r="D166" s="126"/>
      <c r="H166" s="134"/>
    </row>
    <row r="167">
      <c r="D167" s="126"/>
      <c r="H167" s="134"/>
    </row>
    <row r="168">
      <c r="D168" s="126"/>
      <c r="H168" s="134"/>
    </row>
    <row r="169">
      <c r="D169" s="126"/>
      <c r="H169" s="134"/>
    </row>
    <row r="170">
      <c r="D170" s="126"/>
      <c r="H170" s="134"/>
    </row>
    <row r="171">
      <c r="D171" s="126"/>
      <c r="H171" s="134"/>
    </row>
    <row r="172">
      <c r="D172" s="126"/>
      <c r="H172" s="134"/>
    </row>
    <row r="173">
      <c r="D173" s="126"/>
      <c r="H173" s="134"/>
    </row>
    <row r="174">
      <c r="D174" s="126"/>
      <c r="H174" s="134"/>
    </row>
    <row r="175">
      <c r="D175" s="126"/>
      <c r="H175" s="134"/>
    </row>
    <row r="176">
      <c r="D176" s="126"/>
      <c r="H176" s="134"/>
    </row>
    <row r="177">
      <c r="D177" s="126"/>
      <c r="H177" s="134"/>
    </row>
    <row r="178">
      <c r="D178" s="126"/>
      <c r="H178" s="134"/>
    </row>
    <row r="179">
      <c r="D179" s="126"/>
      <c r="H179" s="134"/>
    </row>
    <row r="180">
      <c r="D180" s="126"/>
      <c r="H180" s="134"/>
    </row>
    <row r="181">
      <c r="D181" s="126"/>
      <c r="H181" s="134"/>
    </row>
    <row r="182">
      <c r="D182" s="126"/>
      <c r="H182" s="134"/>
    </row>
    <row r="183">
      <c r="D183" s="126"/>
      <c r="H183" s="134"/>
    </row>
    <row r="184">
      <c r="D184" s="126"/>
      <c r="H184" s="134"/>
    </row>
    <row r="185">
      <c r="D185" s="126"/>
      <c r="H185" s="134"/>
    </row>
    <row r="186">
      <c r="D186" s="126"/>
      <c r="H186" s="134"/>
    </row>
    <row r="187">
      <c r="D187" s="126"/>
      <c r="H187" s="134"/>
    </row>
    <row r="188">
      <c r="D188" s="126"/>
      <c r="H188" s="134"/>
    </row>
    <row r="189">
      <c r="D189" s="126"/>
      <c r="H189" s="134"/>
    </row>
    <row r="190">
      <c r="D190" s="126"/>
      <c r="H190" s="134"/>
    </row>
    <row r="191">
      <c r="D191" s="126"/>
      <c r="H191" s="134"/>
    </row>
    <row r="192">
      <c r="D192" s="126"/>
      <c r="H192" s="134"/>
    </row>
    <row r="193">
      <c r="D193" s="126"/>
      <c r="H193" s="134"/>
    </row>
    <row r="194">
      <c r="D194" s="126"/>
      <c r="H194" s="134"/>
    </row>
    <row r="195">
      <c r="D195" s="126"/>
      <c r="H195" s="134"/>
    </row>
    <row r="196">
      <c r="D196" s="126"/>
      <c r="H196" s="134"/>
    </row>
    <row r="197">
      <c r="D197" s="126"/>
      <c r="H197" s="134"/>
    </row>
    <row r="198">
      <c r="D198" s="126"/>
      <c r="H198" s="134"/>
    </row>
    <row r="199">
      <c r="D199" s="126"/>
      <c r="H199" s="134"/>
    </row>
    <row r="200">
      <c r="D200" s="126"/>
      <c r="H200" s="134"/>
    </row>
    <row r="201">
      <c r="D201" s="126"/>
      <c r="H201" s="134"/>
    </row>
    <row r="202">
      <c r="D202" s="126"/>
      <c r="H202" s="134"/>
    </row>
    <row r="203">
      <c r="D203" s="126"/>
      <c r="H203" s="134"/>
    </row>
    <row r="204">
      <c r="D204" s="126"/>
      <c r="H204" s="134"/>
    </row>
    <row r="205">
      <c r="D205" s="126"/>
      <c r="H205" s="134"/>
    </row>
    <row r="206">
      <c r="D206" s="126"/>
      <c r="H206" s="134"/>
    </row>
    <row r="207">
      <c r="D207" s="126"/>
      <c r="H207" s="134"/>
    </row>
    <row r="208">
      <c r="D208" s="126"/>
      <c r="H208" s="134"/>
    </row>
    <row r="209">
      <c r="D209" s="126"/>
      <c r="H209" s="134"/>
    </row>
    <row r="210">
      <c r="D210" s="126"/>
      <c r="H210" s="134"/>
    </row>
    <row r="211">
      <c r="D211" s="126"/>
      <c r="H211" s="134"/>
    </row>
    <row r="212">
      <c r="D212" s="126"/>
      <c r="H212" s="134"/>
    </row>
    <row r="213">
      <c r="D213" s="126"/>
      <c r="H213" s="134"/>
    </row>
    <row r="214">
      <c r="D214" s="126"/>
      <c r="H214" s="134"/>
    </row>
    <row r="215">
      <c r="D215" s="126"/>
      <c r="H215" s="134"/>
    </row>
    <row r="216">
      <c r="D216" s="126"/>
      <c r="H216" s="134"/>
    </row>
    <row r="217">
      <c r="D217" s="126"/>
      <c r="H217" s="134"/>
    </row>
    <row r="218">
      <c r="D218" s="126"/>
      <c r="H218" s="134"/>
    </row>
    <row r="219">
      <c r="D219" s="126"/>
      <c r="H219" s="134"/>
    </row>
    <row r="220">
      <c r="D220" s="126"/>
      <c r="H220" s="134"/>
    </row>
    <row r="221">
      <c r="D221" s="126"/>
      <c r="H221" s="134"/>
    </row>
    <row r="222">
      <c r="D222" s="126"/>
      <c r="H222" s="134"/>
    </row>
    <row r="223">
      <c r="D223" s="126"/>
      <c r="H223" s="134"/>
    </row>
    <row r="224">
      <c r="D224" s="126"/>
      <c r="H224" s="134"/>
    </row>
    <row r="225">
      <c r="D225" s="126"/>
      <c r="H225" s="134"/>
    </row>
    <row r="226">
      <c r="D226" s="126"/>
      <c r="H226" s="134"/>
    </row>
    <row r="227">
      <c r="D227" s="126"/>
      <c r="H227" s="134"/>
    </row>
    <row r="228">
      <c r="D228" s="126"/>
      <c r="H228" s="134"/>
    </row>
    <row r="229">
      <c r="D229" s="126"/>
      <c r="H229" s="134"/>
    </row>
    <row r="230">
      <c r="D230" s="126"/>
      <c r="H230" s="134"/>
    </row>
    <row r="231">
      <c r="D231" s="126"/>
      <c r="H231" s="134"/>
    </row>
    <row r="232">
      <c r="D232" s="126"/>
      <c r="H232" s="134"/>
    </row>
    <row r="233">
      <c r="D233" s="126"/>
      <c r="H233" s="134"/>
    </row>
    <row r="234">
      <c r="D234" s="126"/>
      <c r="H234" s="134"/>
    </row>
    <row r="235">
      <c r="D235" s="126"/>
      <c r="H235" s="134"/>
    </row>
    <row r="236">
      <c r="D236" s="126"/>
      <c r="H236" s="134"/>
    </row>
    <row r="237">
      <c r="D237" s="126"/>
      <c r="H237" s="134"/>
    </row>
    <row r="238">
      <c r="D238" s="126"/>
      <c r="H238" s="134"/>
    </row>
    <row r="239">
      <c r="D239" s="126"/>
      <c r="H239" s="134"/>
    </row>
    <row r="240">
      <c r="D240" s="126"/>
      <c r="H240" s="134"/>
    </row>
    <row r="241">
      <c r="D241" s="126"/>
      <c r="H241" s="134"/>
    </row>
    <row r="242">
      <c r="D242" s="126"/>
      <c r="H242" s="134"/>
    </row>
    <row r="243">
      <c r="D243" s="126"/>
      <c r="H243" s="134"/>
    </row>
    <row r="244">
      <c r="D244" s="126"/>
      <c r="H244" s="134"/>
    </row>
    <row r="245">
      <c r="D245" s="126"/>
      <c r="H245" s="134"/>
    </row>
    <row r="246">
      <c r="D246" s="126"/>
      <c r="H246" s="134"/>
    </row>
    <row r="247">
      <c r="D247" s="126"/>
      <c r="H247" s="134"/>
    </row>
    <row r="248">
      <c r="D248" s="126"/>
      <c r="H248" s="134"/>
    </row>
    <row r="249">
      <c r="D249" s="126"/>
      <c r="H249" s="134"/>
    </row>
    <row r="250">
      <c r="D250" s="126"/>
      <c r="H250" s="134"/>
    </row>
    <row r="251">
      <c r="D251" s="126"/>
      <c r="H251" s="134"/>
    </row>
    <row r="252">
      <c r="D252" s="126"/>
      <c r="H252" s="134"/>
    </row>
    <row r="253">
      <c r="D253" s="126"/>
      <c r="H253" s="134"/>
    </row>
    <row r="254">
      <c r="D254" s="126"/>
      <c r="H254" s="134"/>
    </row>
    <row r="255">
      <c r="D255" s="126"/>
      <c r="H255" s="134"/>
    </row>
    <row r="256">
      <c r="D256" s="126"/>
      <c r="H256" s="134"/>
    </row>
    <row r="257">
      <c r="D257" s="126"/>
      <c r="H257" s="134"/>
    </row>
    <row r="258">
      <c r="D258" s="126"/>
      <c r="H258" s="134"/>
    </row>
    <row r="259">
      <c r="D259" s="126"/>
      <c r="H259" s="134"/>
    </row>
    <row r="260">
      <c r="D260" s="126"/>
      <c r="H260" s="134"/>
    </row>
    <row r="261">
      <c r="D261" s="126"/>
      <c r="H261" s="134"/>
    </row>
    <row r="262">
      <c r="D262" s="126"/>
      <c r="H262" s="134"/>
    </row>
    <row r="263">
      <c r="D263" s="126"/>
      <c r="H263" s="134"/>
    </row>
    <row r="264">
      <c r="D264" s="126"/>
      <c r="H264" s="134"/>
    </row>
    <row r="265">
      <c r="D265" s="126"/>
      <c r="H265" s="134"/>
    </row>
    <row r="266">
      <c r="D266" s="126"/>
      <c r="H266" s="134"/>
    </row>
    <row r="267">
      <c r="D267" s="126"/>
      <c r="H267" s="134"/>
    </row>
    <row r="268">
      <c r="D268" s="126"/>
      <c r="H268" s="134"/>
    </row>
    <row r="269">
      <c r="D269" s="126"/>
      <c r="H269" s="134"/>
    </row>
    <row r="270">
      <c r="D270" s="126"/>
      <c r="H270" s="134"/>
    </row>
    <row r="271">
      <c r="D271" s="126"/>
      <c r="H271" s="134"/>
    </row>
    <row r="272">
      <c r="D272" s="126"/>
      <c r="H272" s="134"/>
    </row>
    <row r="273">
      <c r="D273" s="126"/>
      <c r="H273" s="134"/>
    </row>
    <row r="274">
      <c r="D274" s="126"/>
      <c r="H274" s="134"/>
    </row>
    <row r="275">
      <c r="D275" s="126"/>
      <c r="H275" s="134"/>
    </row>
    <row r="276">
      <c r="D276" s="126"/>
      <c r="H276" s="134"/>
    </row>
    <row r="277">
      <c r="D277" s="126"/>
      <c r="H277" s="134"/>
    </row>
    <row r="278">
      <c r="D278" s="126"/>
      <c r="H278" s="134"/>
    </row>
    <row r="279">
      <c r="D279" s="126"/>
      <c r="H279" s="134"/>
    </row>
    <row r="280">
      <c r="D280" s="126"/>
      <c r="H280" s="134"/>
    </row>
    <row r="281">
      <c r="D281" s="126"/>
      <c r="H281" s="134"/>
    </row>
    <row r="282">
      <c r="D282" s="126"/>
      <c r="H282" s="134"/>
    </row>
    <row r="283">
      <c r="D283" s="126"/>
      <c r="H283" s="134"/>
    </row>
    <row r="284">
      <c r="D284" s="126"/>
      <c r="H284" s="134"/>
    </row>
    <row r="285">
      <c r="D285" s="126"/>
      <c r="H285" s="134"/>
    </row>
    <row r="286">
      <c r="D286" s="126"/>
      <c r="H286" s="134"/>
    </row>
    <row r="287">
      <c r="D287" s="126"/>
      <c r="H287" s="134"/>
    </row>
    <row r="288">
      <c r="D288" s="126"/>
      <c r="H288" s="134"/>
    </row>
    <row r="289">
      <c r="D289" s="126"/>
      <c r="H289" s="134"/>
    </row>
    <row r="290">
      <c r="D290" s="126"/>
      <c r="H290" s="134"/>
    </row>
    <row r="291">
      <c r="D291" s="126"/>
      <c r="H291" s="134"/>
    </row>
    <row r="292">
      <c r="D292" s="126"/>
      <c r="H292" s="134"/>
    </row>
    <row r="293">
      <c r="D293" s="126"/>
      <c r="H293" s="134"/>
    </row>
    <row r="294">
      <c r="D294" s="126"/>
      <c r="H294" s="134"/>
    </row>
    <row r="295">
      <c r="D295" s="126"/>
      <c r="H295" s="134"/>
    </row>
    <row r="296">
      <c r="D296" s="126"/>
      <c r="H296" s="134"/>
    </row>
    <row r="297">
      <c r="D297" s="126"/>
      <c r="H297" s="134"/>
    </row>
    <row r="298">
      <c r="D298" s="126"/>
      <c r="H298" s="134"/>
    </row>
    <row r="299">
      <c r="D299" s="126"/>
      <c r="H299" s="134"/>
    </row>
    <row r="300">
      <c r="D300" s="126"/>
      <c r="H300" s="134"/>
    </row>
    <row r="301">
      <c r="D301" s="126"/>
      <c r="H301" s="134"/>
    </row>
    <row r="302">
      <c r="D302" s="126"/>
      <c r="H302" s="134"/>
    </row>
    <row r="303">
      <c r="D303" s="126"/>
      <c r="H303" s="134"/>
    </row>
    <row r="304">
      <c r="D304" s="126"/>
      <c r="H304" s="134"/>
    </row>
    <row r="305">
      <c r="D305" s="126"/>
      <c r="H305" s="134"/>
    </row>
    <row r="306">
      <c r="D306" s="126"/>
      <c r="H306" s="134"/>
    </row>
    <row r="307">
      <c r="D307" s="126"/>
      <c r="H307" s="134"/>
    </row>
    <row r="308">
      <c r="D308" s="126"/>
      <c r="H308" s="134"/>
    </row>
    <row r="309">
      <c r="D309" s="126"/>
      <c r="H309" s="134"/>
    </row>
    <row r="310">
      <c r="D310" s="126"/>
      <c r="H310" s="134"/>
    </row>
    <row r="311">
      <c r="D311" s="126"/>
      <c r="H311" s="134"/>
    </row>
    <row r="312">
      <c r="D312" s="126"/>
      <c r="H312" s="134"/>
    </row>
    <row r="313">
      <c r="D313" s="126"/>
      <c r="H313" s="134"/>
    </row>
    <row r="314">
      <c r="D314" s="126"/>
      <c r="H314" s="134"/>
    </row>
    <row r="315">
      <c r="D315" s="126"/>
      <c r="H315" s="134"/>
    </row>
    <row r="316">
      <c r="D316" s="126"/>
      <c r="H316" s="134"/>
    </row>
    <row r="317">
      <c r="D317" s="126"/>
      <c r="H317" s="134"/>
    </row>
    <row r="318">
      <c r="D318" s="126"/>
      <c r="H318" s="134"/>
    </row>
    <row r="319">
      <c r="D319" s="126"/>
      <c r="H319" s="134"/>
    </row>
    <row r="320">
      <c r="D320" s="126"/>
      <c r="H320" s="134"/>
    </row>
    <row r="321">
      <c r="D321" s="126"/>
      <c r="H321" s="134"/>
    </row>
    <row r="322">
      <c r="D322" s="126"/>
      <c r="H322" s="134"/>
    </row>
    <row r="323">
      <c r="D323" s="126"/>
      <c r="H323" s="134"/>
    </row>
    <row r="324">
      <c r="D324" s="126"/>
      <c r="H324" s="134"/>
    </row>
    <row r="325">
      <c r="D325" s="126"/>
      <c r="H325" s="134"/>
    </row>
    <row r="326">
      <c r="D326" s="126"/>
      <c r="H326" s="134"/>
    </row>
    <row r="327">
      <c r="D327" s="126"/>
      <c r="H327" s="134"/>
    </row>
    <row r="328">
      <c r="D328" s="126"/>
      <c r="H328" s="134"/>
    </row>
    <row r="329">
      <c r="D329" s="126"/>
      <c r="H329" s="134"/>
    </row>
    <row r="330">
      <c r="D330" s="126"/>
      <c r="H330" s="134"/>
    </row>
    <row r="331">
      <c r="D331" s="126"/>
      <c r="H331" s="134"/>
    </row>
    <row r="332">
      <c r="D332" s="126"/>
      <c r="H332" s="134"/>
    </row>
    <row r="333">
      <c r="D333" s="126"/>
      <c r="H333" s="134"/>
    </row>
    <row r="334">
      <c r="D334" s="126"/>
      <c r="H334" s="134"/>
    </row>
    <row r="335">
      <c r="D335" s="126"/>
      <c r="H335" s="134"/>
    </row>
    <row r="336">
      <c r="D336" s="126"/>
      <c r="H336" s="134"/>
    </row>
    <row r="337">
      <c r="D337" s="126"/>
      <c r="H337" s="134"/>
    </row>
    <row r="338">
      <c r="D338" s="126"/>
      <c r="H338" s="134"/>
    </row>
    <row r="339">
      <c r="D339" s="126"/>
      <c r="H339" s="134"/>
    </row>
    <row r="340">
      <c r="D340" s="126"/>
      <c r="H340" s="134"/>
    </row>
    <row r="341">
      <c r="D341" s="126"/>
      <c r="H341" s="134"/>
    </row>
    <row r="342">
      <c r="D342" s="126"/>
      <c r="H342" s="134"/>
    </row>
    <row r="343">
      <c r="D343" s="126"/>
      <c r="H343" s="134"/>
    </row>
    <row r="344">
      <c r="D344" s="126"/>
      <c r="H344" s="134"/>
    </row>
    <row r="345">
      <c r="D345" s="126"/>
      <c r="H345" s="134"/>
    </row>
    <row r="346">
      <c r="D346" s="126"/>
      <c r="H346" s="134"/>
    </row>
    <row r="347">
      <c r="D347" s="126"/>
      <c r="H347" s="134"/>
    </row>
    <row r="348">
      <c r="D348" s="126"/>
      <c r="H348" s="134"/>
    </row>
    <row r="349">
      <c r="D349" s="126"/>
      <c r="H349" s="134"/>
    </row>
    <row r="350">
      <c r="D350" s="126"/>
      <c r="H350" s="134"/>
    </row>
    <row r="351">
      <c r="D351" s="126"/>
      <c r="H351" s="134"/>
    </row>
    <row r="352">
      <c r="D352" s="126"/>
      <c r="H352" s="134"/>
    </row>
    <row r="353">
      <c r="D353" s="126"/>
      <c r="H353" s="134"/>
    </row>
    <row r="354">
      <c r="D354" s="126"/>
      <c r="H354" s="134"/>
    </row>
    <row r="355">
      <c r="D355" s="126"/>
      <c r="H355" s="134"/>
    </row>
    <row r="356">
      <c r="D356" s="126"/>
      <c r="H356" s="134"/>
    </row>
    <row r="357">
      <c r="D357" s="126"/>
      <c r="H357" s="134"/>
    </row>
    <row r="358">
      <c r="D358" s="126"/>
      <c r="H358" s="134"/>
    </row>
    <row r="359">
      <c r="D359" s="126"/>
      <c r="H359" s="134"/>
    </row>
    <row r="360">
      <c r="D360" s="126"/>
      <c r="H360" s="134"/>
    </row>
    <row r="361">
      <c r="D361" s="126"/>
      <c r="H361" s="134"/>
    </row>
    <row r="362">
      <c r="D362" s="126"/>
      <c r="H362" s="134"/>
    </row>
    <row r="363">
      <c r="D363" s="126"/>
      <c r="H363" s="134"/>
    </row>
    <row r="364">
      <c r="D364" s="126"/>
      <c r="H364" s="134"/>
    </row>
    <row r="365">
      <c r="D365" s="126"/>
      <c r="H365" s="134"/>
    </row>
    <row r="366">
      <c r="D366" s="126"/>
      <c r="H366" s="134"/>
    </row>
    <row r="367">
      <c r="D367" s="126"/>
      <c r="H367" s="134"/>
    </row>
    <row r="368">
      <c r="D368" s="126"/>
      <c r="H368" s="134"/>
    </row>
    <row r="369">
      <c r="D369" s="126"/>
      <c r="H369" s="134"/>
    </row>
    <row r="370">
      <c r="D370" s="126"/>
      <c r="H370" s="134"/>
    </row>
    <row r="371">
      <c r="D371" s="126"/>
      <c r="H371" s="134"/>
    </row>
    <row r="372">
      <c r="D372" s="126"/>
      <c r="H372" s="134"/>
    </row>
    <row r="373">
      <c r="D373" s="126"/>
      <c r="H373" s="134"/>
    </row>
    <row r="374">
      <c r="D374" s="126"/>
      <c r="H374" s="134"/>
    </row>
    <row r="375">
      <c r="D375" s="126"/>
      <c r="H375" s="134"/>
    </row>
    <row r="376">
      <c r="D376" s="126"/>
      <c r="H376" s="134"/>
    </row>
    <row r="377">
      <c r="D377" s="126"/>
      <c r="H377" s="134"/>
    </row>
    <row r="378">
      <c r="D378" s="126"/>
      <c r="H378" s="134"/>
    </row>
    <row r="379">
      <c r="D379" s="126"/>
      <c r="H379" s="134"/>
    </row>
    <row r="380">
      <c r="D380" s="126"/>
      <c r="H380" s="134"/>
    </row>
    <row r="381">
      <c r="D381" s="126"/>
      <c r="H381" s="134"/>
    </row>
    <row r="382">
      <c r="D382" s="126"/>
      <c r="H382" s="134"/>
    </row>
    <row r="383">
      <c r="D383" s="126"/>
      <c r="H383" s="134"/>
    </row>
    <row r="384">
      <c r="D384" s="126"/>
      <c r="H384" s="134"/>
    </row>
    <row r="385">
      <c r="D385" s="126"/>
      <c r="H385" s="134"/>
    </row>
    <row r="386">
      <c r="D386" s="126"/>
      <c r="H386" s="134"/>
    </row>
    <row r="387">
      <c r="D387" s="126"/>
      <c r="H387" s="134"/>
    </row>
    <row r="388">
      <c r="D388" s="126"/>
      <c r="H388" s="134"/>
    </row>
    <row r="389">
      <c r="D389" s="126"/>
      <c r="H389" s="134"/>
    </row>
    <row r="390">
      <c r="D390" s="126"/>
      <c r="H390" s="134"/>
    </row>
    <row r="391">
      <c r="D391" s="126"/>
      <c r="H391" s="134"/>
    </row>
    <row r="392">
      <c r="D392" s="126"/>
      <c r="H392" s="134"/>
    </row>
    <row r="393">
      <c r="D393" s="126"/>
      <c r="H393" s="134"/>
    </row>
    <row r="394">
      <c r="D394" s="126"/>
      <c r="H394" s="134"/>
    </row>
    <row r="395">
      <c r="D395" s="126"/>
      <c r="H395" s="134"/>
    </row>
    <row r="396">
      <c r="D396" s="126"/>
      <c r="H396" s="134"/>
    </row>
    <row r="397">
      <c r="D397" s="126"/>
      <c r="H397" s="134"/>
    </row>
    <row r="398">
      <c r="D398" s="126"/>
      <c r="H398" s="134"/>
    </row>
    <row r="399">
      <c r="D399" s="126"/>
      <c r="H399" s="134"/>
    </row>
    <row r="400">
      <c r="D400" s="126"/>
      <c r="H400" s="134"/>
    </row>
    <row r="401">
      <c r="D401" s="126"/>
      <c r="H401" s="134"/>
    </row>
    <row r="402">
      <c r="D402" s="126"/>
      <c r="H402" s="134"/>
    </row>
    <row r="403">
      <c r="D403" s="126"/>
      <c r="H403" s="134"/>
    </row>
    <row r="404">
      <c r="D404" s="126"/>
      <c r="H404" s="134"/>
    </row>
    <row r="405">
      <c r="D405" s="126"/>
      <c r="H405" s="134"/>
    </row>
    <row r="406">
      <c r="D406" s="126"/>
      <c r="H406" s="134"/>
    </row>
    <row r="407">
      <c r="D407" s="126"/>
      <c r="H407" s="134"/>
    </row>
    <row r="408">
      <c r="D408" s="126"/>
      <c r="H408" s="134"/>
    </row>
    <row r="409">
      <c r="D409" s="126"/>
      <c r="H409" s="134"/>
    </row>
    <row r="410">
      <c r="D410" s="126"/>
      <c r="H410" s="134"/>
    </row>
    <row r="411">
      <c r="D411" s="126"/>
      <c r="H411" s="134"/>
    </row>
    <row r="412">
      <c r="D412" s="126"/>
      <c r="H412" s="134"/>
    </row>
    <row r="413">
      <c r="D413" s="126"/>
      <c r="H413" s="134"/>
    </row>
    <row r="414">
      <c r="D414" s="126"/>
      <c r="H414" s="134"/>
    </row>
    <row r="415">
      <c r="D415" s="126"/>
      <c r="H415" s="134"/>
    </row>
    <row r="416">
      <c r="D416" s="126"/>
      <c r="H416" s="134"/>
    </row>
    <row r="417">
      <c r="D417" s="126"/>
      <c r="H417" s="134"/>
    </row>
    <row r="418">
      <c r="D418" s="126"/>
      <c r="H418" s="134"/>
    </row>
    <row r="419">
      <c r="D419" s="126"/>
      <c r="H419" s="134"/>
    </row>
    <row r="420">
      <c r="D420" s="126"/>
      <c r="H420" s="134"/>
    </row>
    <row r="421">
      <c r="D421" s="126"/>
      <c r="H421" s="134"/>
    </row>
    <row r="422">
      <c r="D422" s="126"/>
      <c r="H422" s="134"/>
    </row>
    <row r="423">
      <c r="D423" s="126"/>
      <c r="H423" s="134"/>
    </row>
    <row r="424">
      <c r="D424" s="126"/>
      <c r="H424" s="134"/>
    </row>
    <row r="425">
      <c r="D425" s="126"/>
      <c r="H425" s="134"/>
    </row>
    <row r="426">
      <c r="D426" s="126"/>
      <c r="H426" s="134"/>
    </row>
    <row r="427">
      <c r="D427" s="126"/>
      <c r="H427" s="134"/>
    </row>
    <row r="428">
      <c r="D428" s="126"/>
      <c r="H428" s="134"/>
    </row>
    <row r="429">
      <c r="D429" s="126"/>
      <c r="H429" s="134"/>
    </row>
    <row r="430">
      <c r="D430" s="126"/>
      <c r="H430" s="134"/>
    </row>
    <row r="431">
      <c r="D431" s="126"/>
      <c r="H431" s="134"/>
    </row>
    <row r="432">
      <c r="D432" s="126"/>
      <c r="H432" s="134"/>
    </row>
    <row r="433">
      <c r="D433" s="126"/>
      <c r="H433" s="134"/>
    </row>
    <row r="434">
      <c r="D434" s="126"/>
      <c r="H434" s="134"/>
    </row>
    <row r="435">
      <c r="D435" s="126"/>
      <c r="H435" s="134"/>
    </row>
    <row r="436">
      <c r="D436" s="126"/>
      <c r="H436" s="134"/>
    </row>
    <row r="437">
      <c r="D437" s="126"/>
      <c r="H437" s="134"/>
    </row>
    <row r="438">
      <c r="D438" s="126"/>
      <c r="H438" s="134"/>
    </row>
    <row r="439">
      <c r="D439" s="126"/>
      <c r="H439" s="134"/>
    </row>
    <row r="440">
      <c r="D440" s="126"/>
      <c r="H440" s="134"/>
    </row>
    <row r="441">
      <c r="D441" s="126"/>
      <c r="H441" s="134"/>
    </row>
    <row r="442">
      <c r="D442" s="126"/>
      <c r="H442" s="134"/>
    </row>
    <row r="443">
      <c r="D443" s="126"/>
      <c r="H443" s="134"/>
    </row>
    <row r="444">
      <c r="D444" s="126"/>
      <c r="H444" s="134"/>
    </row>
    <row r="445">
      <c r="D445" s="126"/>
      <c r="H445" s="134"/>
    </row>
    <row r="446">
      <c r="D446" s="126"/>
      <c r="H446" s="134"/>
    </row>
    <row r="447">
      <c r="D447" s="126"/>
      <c r="H447" s="134"/>
    </row>
    <row r="448">
      <c r="D448" s="126"/>
      <c r="H448" s="134"/>
    </row>
    <row r="449">
      <c r="D449" s="126"/>
      <c r="H449" s="134"/>
    </row>
    <row r="450">
      <c r="D450" s="126"/>
      <c r="H450" s="134"/>
    </row>
    <row r="451">
      <c r="D451" s="126"/>
      <c r="H451" s="134"/>
    </row>
    <row r="452">
      <c r="D452" s="126"/>
      <c r="H452" s="134"/>
    </row>
    <row r="453">
      <c r="D453" s="126"/>
      <c r="H453" s="134"/>
    </row>
    <row r="454">
      <c r="D454" s="126"/>
      <c r="H454" s="134"/>
    </row>
    <row r="455">
      <c r="D455" s="126"/>
      <c r="H455" s="134"/>
    </row>
    <row r="456">
      <c r="D456" s="126"/>
      <c r="H456" s="134"/>
    </row>
    <row r="457">
      <c r="D457" s="126"/>
      <c r="H457" s="134"/>
    </row>
    <row r="458">
      <c r="D458" s="126"/>
      <c r="H458" s="134"/>
    </row>
    <row r="459">
      <c r="D459" s="126"/>
      <c r="H459" s="134"/>
    </row>
    <row r="460">
      <c r="D460" s="126"/>
      <c r="H460" s="134"/>
    </row>
    <row r="461">
      <c r="D461" s="126"/>
      <c r="H461" s="134"/>
    </row>
    <row r="462">
      <c r="D462" s="126"/>
      <c r="H462" s="134"/>
    </row>
    <row r="463">
      <c r="D463" s="126"/>
      <c r="H463" s="134"/>
    </row>
    <row r="464">
      <c r="D464" s="126"/>
      <c r="H464" s="134"/>
    </row>
    <row r="465">
      <c r="D465" s="126"/>
      <c r="H465" s="134"/>
    </row>
    <row r="466">
      <c r="D466" s="126"/>
      <c r="H466" s="134"/>
    </row>
    <row r="467">
      <c r="D467" s="126"/>
      <c r="H467" s="134"/>
    </row>
    <row r="468">
      <c r="D468" s="126"/>
      <c r="H468" s="134"/>
    </row>
    <row r="469">
      <c r="D469" s="126"/>
      <c r="H469" s="134"/>
    </row>
    <row r="470">
      <c r="D470" s="126"/>
      <c r="H470" s="134"/>
    </row>
    <row r="471">
      <c r="D471" s="126"/>
      <c r="H471" s="134"/>
    </row>
    <row r="472">
      <c r="D472" s="126"/>
      <c r="H472" s="134"/>
    </row>
    <row r="473">
      <c r="D473" s="126"/>
      <c r="H473" s="134"/>
    </row>
    <row r="474">
      <c r="D474" s="126"/>
      <c r="H474" s="134"/>
    </row>
    <row r="475">
      <c r="D475" s="126"/>
      <c r="H475" s="134"/>
    </row>
    <row r="476">
      <c r="D476" s="126"/>
      <c r="H476" s="134"/>
    </row>
    <row r="477">
      <c r="D477" s="126"/>
      <c r="H477" s="134"/>
    </row>
    <row r="478">
      <c r="D478" s="126"/>
      <c r="H478" s="134"/>
    </row>
    <row r="479">
      <c r="D479" s="126"/>
      <c r="H479" s="134"/>
    </row>
    <row r="480">
      <c r="D480" s="126"/>
      <c r="H480" s="134"/>
    </row>
    <row r="481">
      <c r="D481" s="126"/>
      <c r="H481" s="134"/>
    </row>
    <row r="482">
      <c r="D482" s="126"/>
      <c r="H482" s="134"/>
    </row>
    <row r="483">
      <c r="D483" s="126"/>
      <c r="H483" s="134"/>
    </row>
    <row r="484">
      <c r="D484" s="126"/>
      <c r="H484" s="134"/>
    </row>
    <row r="485">
      <c r="D485" s="126"/>
      <c r="H485" s="134"/>
    </row>
    <row r="486">
      <c r="D486" s="126"/>
      <c r="H486" s="134"/>
    </row>
    <row r="487">
      <c r="D487" s="126"/>
      <c r="H487" s="134"/>
    </row>
    <row r="488">
      <c r="D488" s="126"/>
      <c r="H488" s="134"/>
    </row>
    <row r="489">
      <c r="D489" s="126"/>
      <c r="H489" s="134"/>
    </row>
    <row r="490">
      <c r="D490" s="126"/>
      <c r="H490" s="134"/>
    </row>
    <row r="491">
      <c r="D491" s="126"/>
      <c r="H491" s="134"/>
    </row>
    <row r="492">
      <c r="D492" s="126"/>
      <c r="H492" s="134"/>
    </row>
    <row r="493">
      <c r="D493" s="126"/>
      <c r="H493" s="134"/>
    </row>
    <row r="494">
      <c r="D494" s="126"/>
      <c r="H494" s="134"/>
    </row>
    <row r="495">
      <c r="D495" s="126"/>
      <c r="H495" s="134"/>
    </row>
    <row r="496">
      <c r="D496" s="126"/>
      <c r="H496" s="134"/>
    </row>
    <row r="497">
      <c r="D497" s="126"/>
      <c r="H497" s="134"/>
    </row>
    <row r="498">
      <c r="D498" s="126"/>
      <c r="H498" s="134"/>
    </row>
    <row r="499">
      <c r="D499" s="126"/>
      <c r="H499" s="134"/>
    </row>
    <row r="500">
      <c r="D500" s="126"/>
      <c r="H500" s="134"/>
    </row>
    <row r="501">
      <c r="D501" s="126"/>
      <c r="H501" s="134"/>
    </row>
    <row r="502">
      <c r="D502" s="126"/>
      <c r="H502" s="134"/>
    </row>
    <row r="503">
      <c r="D503" s="126"/>
      <c r="H503" s="134"/>
    </row>
    <row r="504">
      <c r="D504" s="126"/>
      <c r="H504" s="134"/>
    </row>
    <row r="505">
      <c r="D505" s="126"/>
      <c r="H505" s="134"/>
    </row>
    <row r="506">
      <c r="D506" s="126"/>
      <c r="H506" s="134"/>
    </row>
    <row r="507">
      <c r="D507" s="126"/>
      <c r="H507" s="134"/>
    </row>
    <row r="508">
      <c r="D508" s="126"/>
      <c r="H508" s="134"/>
    </row>
    <row r="509">
      <c r="D509" s="126"/>
      <c r="H509" s="134"/>
    </row>
    <row r="510">
      <c r="D510" s="126"/>
      <c r="H510" s="134"/>
    </row>
    <row r="511">
      <c r="D511" s="126"/>
      <c r="H511" s="134"/>
    </row>
    <row r="512">
      <c r="D512" s="126"/>
      <c r="H512" s="134"/>
    </row>
    <row r="513">
      <c r="D513" s="126"/>
      <c r="H513" s="134"/>
    </row>
    <row r="514">
      <c r="D514" s="126"/>
      <c r="H514" s="134"/>
    </row>
    <row r="515">
      <c r="D515" s="126"/>
      <c r="H515" s="134"/>
    </row>
    <row r="516">
      <c r="D516" s="126"/>
      <c r="H516" s="134"/>
    </row>
    <row r="517">
      <c r="D517" s="126"/>
      <c r="H517" s="134"/>
    </row>
    <row r="518">
      <c r="D518" s="126"/>
      <c r="H518" s="134"/>
    </row>
    <row r="519">
      <c r="D519" s="126"/>
      <c r="H519" s="134"/>
    </row>
    <row r="520">
      <c r="D520" s="126"/>
      <c r="H520" s="134"/>
    </row>
    <row r="521">
      <c r="D521" s="126"/>
      <c r="H521" s="134"/>
    </row>
    <row r="522">
      <c r="D522" s="126"/>
      <c r="H522" s="134"/>
    </row>
    <row r="523">
      <c r="D523" s="126"/>
      <c r="H523" s="134"/>
    </row>
    <row r="524">
      <c r="D524" s="126"/>
      <c r="H524" s="134"/>
    </row>
    <row r="525">
      <c r="D525" s="126"/>
      <c r="H525" s="134"/>
    </row>
    <row r="526">
      <c r="D526" s="126"/>
      <c r="H526" s="134"/>
    </row>
    <row r="527">
      <c r="D527" s="126"/>
      <c r="H527" s="134"/>
    </row>
    <row r="528">
      <c r="D528" s="126"/>
      <c r="H528" s="134"/>
    </row>
    <row r="529">
      <c r="D529" s="126"/>
      <c r="H529" s="134"/>
    </row>
    <row r="530">
      <c r="D530" s="126"/>
      <c r="H530" s="134"/>
    </row>
    <row r="531">
      <c r="D531" s="126"/>
      <c r="H531" s="134"/>
    </row>
    <row r="532">
      <c r="D532" s="126"/>
      <c r="H532" s="134"/>
    </row>
    <row r="533">
      <c r="D533" s="126"/>
      <c r="H533" s="134"/>
    </row>
    <row r="534">
      <c r="D534" s="126"/>
      <c r="H534" s="134"/>
    </row>
    <row r="535">
      <c r="D535" s="126"/>
      <c r="H535" s="134"/>
    </row>
    <row r="536">
      <c r="D536" s="126"/>
      <c r="H536" s="134"/>
    </row>
    <row r="537">
      <c r="D537" s="126"/>
      <c r="H537" s="134"/>
    </row>
    <row r="538">
      <c r="D538" s="126"/>
      <c r="H538" s="134"/>
    </row>
    <row r="539">
      <c r="D539" s="126"/>
      <c r="H539" s="134"/>
    </row>
    <row r="540">
      <c r="D540" s="126"/>
      <c r="H540" s="134"/>
    </row>
    <row r="541">
      <c r="D541" s="126"/>
      <c r="H541" s="134"/>
    </row>
    <row r="542">
      <c r="D542" s="126"/>
      <c r="H542" s="134"/>
    </row>
    <row r="543">
      <c r="D543" s="126"/>
      <c r="H543" s="134"/>
    </row>
    <row r="544">
      <c r="D544" s="126"/>
      <c r="H544" s="134"/>
    </row>
    <row r="545">
      <c r="D545" s="126"/>
      <c r="H545" s="134"/>
    </row>
    <row r="546">
      <c r="D546" s="126"/>
      <c r="H546" s="134"/>
    </row>
    <row r="547">
      <c r="D547" s="126"/>
      <c r="H547" s="134"/>
    </row>
    <row r="548">
      <c r="D548" s="126"/>
      <c r="H548" s="134"/>
    </row>
    <row r="549">
      <c r="D549" s="126"/>
      <c r="H549" s="134"/>
    </row>
    <row r="550">
      <c r="D550" s="126"/>
      <c r="H550" s="134"/>
    </row>
    <row r="551">
      <c r="D551" s="126"/>
      <c r="H551" s="134"/>
    </row>
    <row r="552">
      <c r="D552" s="126"/>
      <c r="H552" s="134"/>
    </row>
    <row r="553">
      <c r="D553" s="126"/>
      <c r="H553" s="134"/>
    </row>
    <row r="554">
      <c r="D554" s="126"/>
      <c r="H554" s="134"/>
    </row>
    <row r="555">
      <c r="D555" s="126"/>
      <c r="H555" s="134"/>
    </row>
    <row r="556">
      <c r="D556" s="126"/>
      <c r="H556" s="134"/>
    </row>
    <row r="557">
      <c r="D557" s="126"/>
      <c r="H557" s="134"/>
    </row>
    <row r="558">
      <c r="D558" s="126"/>
      <c r="H558" s="134"/>
    </row>
    <row r="559">
      <c r="D559" s="126"/>
      <c r="H559" s="134"/>
    </row>
    <row r="560">
      <c r="D560" s="126"/>
      <c r="H560" s="134"/>
    </row>
    <row r="561">
      <c r="D561" s="126"/>
      <c r="H561" s="134"/>
    </row>
    <row r="562">
      <c r="D562" s="126"/>
      <c r="H562" s="134"/>
    </row>
    <row r="563">
      <c r="D563" s="126"/>
      <c r="H563" s="134"/>
    </row>
    <row r="564">
      <c r="D564" s="126"/>
      <c r="H564" s="134"/>
    </row>
    <row r="565">
      <c r="D565" s="126"/>
      <c r="H565" s="134"/>
    </row>
    <row r="566">
      <c r="D566" s="126"/>
      <c r="H566" s="134"/>
    </row>
    <row r="567">
      <c r="D567" s="126"/>
      <c r="H567" s="134"/>
    </row>
    <row r="568">
      <c r="D568" s="126"/>
      <c r="H568" s="134"/>
    </row>
    <row r="569">
      <c r="D569" s="126"/>
      <c r="H569" s="134"/>
    </row>
    <row r="570">
      <c r="D570" s="126"/>
      <c r="H570" s="134"/>
    </row>
    <row r="571">
      <c r="D571" s="126"/>
      <c r="H571" s="134"/>
    </row>
    <row r="572">
      <c r="D572" s="126"/>
      <c r="H572" s="134"/>
    </row>
    <row r="573">
      <c r="D573" s="126"/>
      <c r="H573" s="134"/>
    </row>
    <row r="574">
      <c r="D574" s="126"/>
      <c r="H574" s="134"/>
    </row>
    <row r="575">
      <c r="D575" s="126"/>
      <c r="H575" s="134"/>
    </row>
    <row r="576">
      <c r="D576" s="126"/>
      <c r="H576" s="134"/>
    </row>
    <row r="577">
      <c r="D577" s="126"/>
      <c r="H577" s="134"/>
    </row>
    <row r="578">
      <c r="D578" s="126"/>
      <c r="H578" s="134"/>
    </row>
    <row r="579">
      <c r="D579" s="126"/>
      <c r="H579" s="134"/>
    </row>
    <row r="580">
      <c r="D580" s="126"/>
      <c r="H580" s="134"/>
    </row>
    <row r="581">
      <c r="D581" s="126"/>
      <c r="H581" s="134"/>
    </row>
    <row r="582">
      <c r="D582" s="126"/>
      <c r="H582" s="134"/>
    </row>
    <row r="583">
      <c r="D583" s="126"/>
      <c r="H583" s="134"/>
    </row>
    <row r="584">
      <c r="D584" s="126"/>
      <c r="H584" s="134"/>
    </row>
    <row r="585">
      <c r="D585" s="126"/>
      <c r="H585" s="134"/>
    </row>
    <row r="586">
      <c r="D586" s="126"/>
      <c r="H586" s="134"/>
    </row>
    <row r="587">
      <c r="D587" s="126"/>
      <c r="H587" s="134"/>
    </row>
    <row r="588">
      <c r="D588" s="126"/>
      <c r="H588" s="134"/>
    </row>
    <row r="589">
      <c r="D589" s="126"/>
      <c r="H589" s="134"/>
    </row>
    <row r="590">
      <c r="D590" s="126"/>
      <c r="H590" s="134"/>
    </row>
    <row r="591">
      <c r="D591" s="126"/>
      <c r="H591" s="134"/>
    </row>
    <row r="592">
      <c r="D592" s="126"/>
      <c r="H592" s="134"/>
    </row>
    <row r="593">
      <c r="D593" s="126"/>
      <c r="H593" s="134"/>
    </row>
    <row r="594">
      <c r="D594" s="126"/>
      <c r="H594" s="134"/>
    </row>
    <row r="595">
      <c r="D595" s="126"/>
      <c r="H595" s="134"/>
    </row>
    <row r="596">
      <c r="D596" s="126"/>
      <c r="H596" s="134"/>
    </row>
    <row r="597">
      <c r="D597" s="126"/>
      <c r="H597" s="134"/>
    </row>
    <row r="598">
      <c r="D598" s="126"/>
      <c r="H598" s="134"/>
    </row>
    <row r="599">
      <c r="D599" s="126"/>
      <c r="H599" s="134"/>
    </row>
    <row r="600">
      <c r="D600" s="126"/>
      <c r="H600" s="134"/>
    </row>
    <row r="601">
      <c r="D601" s="126"/>
      <c r="H601" s="134"/>
    </row>
    <row r="602">
      <c r="D602" s="126"/>
      <c r="H602" s="134"/>
    </row>
    <row r="603">
      <c r="D603" s="126"/>
      <c r="H603" s="134"/>
    </row>
    <row r="604">
      <c r="D604" s="126"/>
      <c r="H604" s="134"/>
    </row>
    <row r="605">
      <c r="D605" s="126"/>
      <c r="H605" s="134"/>
    </row>
    <row r="606">
      <c r="D606" s="126"/>
      <c r="H606" s="134"/>
    </row>
    <row r="607">
      <c r="D607" s="126"/>
      <c r="H607" s="134"/>
    </row>
    <row r="608">
      <c r="D608" s="126"/>
      <c r="H608" s="134"/>
    </row>
    <row r="609">
      <c r="D609" s="126"/>
      <c r="H609" s="134"/>
    </row>
    <row r="610">
      <c r="D610" s="126"/>
      <c r="H610" s="134"/>
    </row>
    <row r="611">
      <c r="D611" s="126"/>
      <c r="H611" s="134"/>
    </row>
    <row r="612">
      <c r="D612" s="126"/>
      <c r="H612" s="134"/>
    </row>
    <row r="613">
      <c r="D613" s="126"/>
      <c r="H613" s="134"/>
    </row>
    <row r="614">
      <c r="D614" s="126"/>
      <c r="H614" s="134"/>
    </row>
    <row r="615">
      <c r="D615" s="126"/>
      <c r="H615" s="134"/>
    </row>
    <row r="616">
      <c r="D616" s="126"/>
      <c r="H616" s="134"/>
    </row>
    <row r="617">
      <c r="D617" s="126"/>
      <c r="H617" s="134"/>
    </row>
    <row r="618">
      <c r="D618" s="126"/>
      <c r="H618" s="134"/>
    </row>
    <row r="619">
      <c r="D619" s="126"/>
      <c r="H619" s="134"/>
    </row>
    <row r="620">
      <c r="D620" s="126"/>
      <c r="H620" s="134"/>
    </row>
    <row r="621">
      <c r="D621" s="126"/>
      <c r="H621" s="134"/>
    </row>
    <row r="622">
      <c r="D622" s="126"/>
      <c r="H622" s="134"/>
    </row>
    <row r="623">
      <c r="D623" s="126"/>
      <c r="H623" s="134"/>
    </row>
    <row r="624">
      <c r="D624" s="126"/>
      <c r="H624" s="134"/>
    </row>
    <row r="625">
      <c r="D625" s="126"/>
      <c r="H625" s="134"/>
    </row>
    <row r="626">
      <c r="D626" s="126"/>
      <c r="H626" s="134"/>
    </row>
    <row r="627">
      <c r="D627" s="126"/>
      <c r="H627" s="134"/>
    </row>
    <row r="628">
      <c r="D628" s="126"/>
      <c r="H628" s="134"/>
    </row>
    <row r="629">
      <c r="D629" s="126"/>
      <c r="H629" s="134"/>
    </row>
    <row r="630">
      <c r="D630" s="126"/>
      <c r="H630" s="134"/>
    </row>
    <row r="631">
      <c r="D631" s="126"/>
      <c r="H631" s="134"/>
    </row>
    <row r="632">
      <c r="D632" s="126"/>
      <c r="H632" s="134"/>
    </row>
    <row r="633">
      <c r="D633" s="126"/>
      <c r="H633" s="134"/>
    </row>
    <row r="634">
      <c r="D634" s="126"/>
      <c r="H634" s="134"/>
    </row>
    <row r="635">
      <c r="D635" s="126"/>
      <c r="H635" s="134"/>
    </row>
    <row r="636">
      <c r="D636" s="126"/>
      <c r="H636" s="134"/>
    </row>
    <row r="637">
      <c r="D637" s="126"/>
      <c r="H637" s="134"/>
    </row>
    <row r="638">
      <c r="D638" s="126"/>
      <c r="H638" s="134"/>
    </row>
    <row r="639">
      <c r="D639" s="126"/>
      <c r="H639" s="134"/>
    </row>
    <row r="640">
      <c r="D640" s="126"/>
      <c r="H640" s="134"/>
    </row>
    <row r="641">
      <c r="D641" s="126"/>
      <c r="H641" s="134"/>
    </row>
    <row r="642">
      <c r="D642" s="126"/>
      <c r="H642" s="134"/>
    </row>
    <row r="643">
      <c r="D643" s="126"/>
      <c r="H643" s="134"/>
    </row>
    <row r="644">
      <c r="D644" s="126"/>
      <c r="H644" s="134"/>
    </row>
    <row r="645">
      <c r="D645" s="126"/>
      <c r="H645" s="134"/>
    </row>
    <row r="646">
      <c r="D646" s="126"/>
      <c r="H646" s="134"/>
    </row>
    <row r="647">
      <c r="D647" s="126"/>
      <c r="H647" s="134"/>
    </row>
    <row r="648">
      <c r="D648" s="126"/>
      <c r="H648" s="134"/>
    </row>
    <row r="649">
      <c r="D649" s="126"/>
      <c r="H649" s="134"/>
    </row>
    <row r="650">
      <c r="D650" s="126"/>
      <c r="H650" s="134"/>
    </row>
    <row r="651">
      <c r="D651" s="126"/>
      <c r="H651" s="134"/>
    </row>
    <row r="652">
      <c r="D652" s="126"/>
      <c r="H652" s="134"/>
    </row>
    <row r="653">
      <c r="D653" s="126"/>
      <c r="H653" s="134"/>
    </row>
    <row r="654">
      <c r="D654" s="126"/>
      <c r="H654" s="134"/>
    </row>
    <row r="655">
      <c r="D655" s="126"/>
      <c r="H655" s="134"/>
    </row>
    <row r="656">
      <c r="D656" s="126"/>
      <c r="H656" s="134"/>
    </row>
    <row r="657">
      <c r="D657" s="126"/>
      <c r="H657" s="134"/>
    </row>
    <row r="658">
      <c r="D658" s="126"/>
      <c r="H658" s="134"/>
    </row>
    <row r="659">
      <c r="D659" s="126"/>
      <c r="H659" s="134"/>
    </row>
    <row r="660">
      <c r="D660" s="126"/>
      <c r="H660" s="134"/>
    </row>
    <row r="661">
      <c r="D661" s="126"/>
      <c r="H661" s="134"/>
    </row>
    <row r="662">
      <c r="D662" s="126"/>
      <c r="H662" s="134"/>
    </row>
    <row r="663">
      <c r="D663" s="126"/>
      <c r="H663" s="134"/>
    </row>
    <row r="664">
      <c r="D664" s="126"/>
      <c r="H664" s="134"/>
    </row>
    <row r="665">
      <c r="D665" s="126"/>
      <c r="H665" s="134"/>
    </row>
    <row r="666">
      <c r="D666" s="126"/>
      <c r="H666" s="134"/>
    </row>
    <row r="667">
      <c r="D667" s="126"/>
      <c r="H667" s="134"/>
    </row>
    <row r="668">
      <c r="D668" s="126"/>
      <c r="H668" s="134"/>
    </row>
    <row r="669">
      <c r="D669" s="126"/>
      <c r="H669" s="134"/>
    </row>
    <row r="670">
      <c r="D670" s="126"/>
      <c r="H670" s="134"/>
    </row>
    <row r="671">
      <c r="D671" s="126"/>
      <c r="H671" s="134"/>
    </row>
    <row r="672">
      <c r="D672" s="126"/>
      <c r="H672" s="134"/>
    </row>
    <row r="673">
      <c r="D673" s="126"/>
      <c r="H673" s="134"/>
    </row>
    <row r="674">
      <c r="D674" s="126"/>
      <c r="H674" s="134"/>
    </row>
    <row r="675">
      <c r="D675" s="126"/>
      <c r="H675" s="134"/>
    </row>
    <row r="676">
      <c r="D676" s="126"/>
      <c r="H676" s="134"/>
    </row>
    <row r="677">
      <c r="D677" s="126"/>
      <c r="H677" s="134"/>
    </row>
    <row r="678">
      <c r="D678" s="126"/>
      <c r="H678" s="134"/>
    </row>
    <row r="679">
      <c r="D679" s="126"/>
      <c r="H679" s="134"/>
    </row>
    <row r="680">
      <c r="D680" s="126"/>
      <c r="H680" s="134"/>
    </row>
    <row r="681">
      <c r="D681" s="126"/>
      <c r="H681" s="134"/>
    </row>
    <row r="682">
      <c r="D682" s="126"/>
      <c r="H682" s="134"/>
    </row>
    <row r="683">
      <c r="D683" s="126"/>
      <c r="H683" s="134"/>
    </row>
    <row r="684">
      <c r="D684" s="126"/>
      <c r="H684" s="134"/>
    </row>
    <row r="685">
      <c r="D685" s="126"/>
      <c r="H685" s="134"/>
    </row>
    <row r="686">
      <c r="D686" s="126"/>
      <c r="H686" s="134"/>
    </row>
    <row r="687">
      <c r="D687" s="126"/>
      <c r="H687" s="134"/>
    </row>
    <row r="688">
      <c r="D688" s="126"/>
      <c r="H688" s="134"/>
    </row>
    <row r="689">
      <c r="D689" s="126"/>
      <c r="H689" s="134"/>
    </row>
    <row r="690">
      <c r="D690" s="126"/>
      <c r="H690" s="134"/>
    </row>
    <row r="691">
      <c r="D691" s="126"/>
      <c r="H691" s="134"/>
    </row>
    <row r="692">
      <c r="D692" s="126"/>
      <c r="H692" s="134"/>
    </row>
    <row r="693">
      <c r="D693" s="126"/>
      <c r="H693" s="134"/>
    </row>
    <row r="694">
      <c r="D694" s="126"/>
      <c r="H694" s="134"/>
    </row>
    <row r="695">
      <c r="D695" s="126"/>
      <c r="H695" s="134"/>
    </row>
    <row r="696">
      <c r="D696" s="126"/>
      <c r="H696" s="134"/>
    </row>
    <row r="697">
      <c r="D697" s="126"/>
      <c r="H697" s="134"/>
    </row>
    <row r="698">
      <c r="D698" s="126"/>
      <c r="H698" s="134"/>
    </row>
    <row r="699">
      <c r="D699" s="126"/>
      <c r="H699" s="134"/>
    </row>
    <row r="700">
      <c r="D700" s="126"/>
      <c r="H700" s="134"/>
    </row>
    <row r="701">
      <c r="D701" s="126"/>
      <c r="H701" s="134"/>
    </row>
    <row r="702">
      <c r="D702" s="126"/>
      <c r="H702" s="134"/>
    </row>
    <row r="703">
      <c r="D703" s="126"/>
      <c r="H703" s="134"/>
    </row>
    <row r="704">
      <c r="D704" s="126"/>
      <c r="H704" s="134"/>
    </row>
    <row r="705">
      <c r="D705" s="126"/>
      <c r="H705" s="134"/>
    </row>
    <row r="706">
      <c r="D706" s="126"/>
      <c r="H706" s="134"/>
    </row>
    <row r="707">
      <c r="D707" s="126"/>
      <c r="H707" s="134"/>
    </row>
    <row r="708">
      <c r="D708" s="126"/>
      <c r="H708" s="134"/>
    </row>
    <row r="709">
      <c r="D709" s="126"/>
      <c r="H709" s="134"/>
    </row>
    <row r="710">
      <c r="D710" s="126"/>
      <c r="H710" s="134"/>
    </row>
    <row r="711">
      <c r="D711" s="126"/>
      <c r="H711" s="134"/>
    </row>
    <row r="712">
      <c r="D712" s="126"/>
      <c r="H712" s="134"/>
    </row>
    <row r="713">
      <c r="D713" s="126"/>
      <c r="H713" s="134"/>
    </row>
    <row r="714">
      <c r="D714" s="126"/>
      <c r="H714" s="134"/>
    </row>
    <row r="715">
      <c r="D715" s="126"/>
      <c r="H715" s="134"/>
    </row>
    <row r="716">
      <c r="D716" s="126"/>
      <c r="H716" s="134"/>
    </row>
    <row r="717">
      <c r="D717" s="126"/>
      <c r="H717" s="134"/>
    </row>
    <row r="718">
      <c r="D718" s="126"/>
      <c r="H718" s="134"/>
    </row>
    <row r="719">
      <c r="D719" s="126"/>
      <c r="H719" s="134"/>
    </row>
    <row r="720">
      <c r="D720" s="126"/>
      <c r="H720" s="134"/>
    </row>
    <row r="721">
      <c r="D721" s="126"/>
      <c r="H721" s="134"/>
    </row>
    <row r="722">
      <c r="D722" s="126"/>
      <c r="H722" s="134"/>
    </row>
    <row r="723">
      <c r="D723" s="126"/>
      <c r="H723" s="134"/>
    </row>
    <row r="724">
      <c r="D724" s="126"/>
      <c r="H724" s="134"/>
    </row>
    <row r="725">
      <c r="D725" s="126"/>
      <c r="H725" s="134"/>
    </row>
    <row r="726">
      <c r="D726" s="126"/>
      <c r="H726" s="134"/>
    </row>
    <row r="727">
      <c r="D727" s="126"/>
      <c r="H727" s="134"/>
    </row>
    <row r="728">
      <c r="D728" s="126"/>
      <c r="H728" s="134"/>
    </row>
    <row r="729">
      <c r="D729" s="126"/>
      <c r="H729" s="134"/>
    </row>
    <row r="730">
      <c r="D730" s="126"/>
      <c r="H730" s="134"/>
    </row>
    <row r="731">
      <c r="D731" s="126"/>
      <c r="H731" s="134"/>
    </row>
    <row r="732">
      <c r="D732" s="126"/>
      <c r="H732" s="134"/>
    </row>
    <row r="733">
      <c r="D733" s="126"/>
      <c r="H733" s="134"/>
    </row>
    <row r="734">
      <c r="D734" s="126"/>
      <c r="H734" s="134"/>
    </row>
    <row r="735">
      <c r="D735" s="126"/>
      <c r="H735" s="134"/>
    </row>
    <row r="736">
      <c r="D736" s="126"/>
      <c r="H736" s="134"/>
    </row>
    <row r="737">
      <c r="D737" s="126"/>
      <c r="H737" s="134"/>
    </row>
    <row r="738">
      <c r="D738" s="126"/>
      <c r="H738" s="134"/>
    </row>
    <row r="739">
      <c r="D739" s="126"/>
      <c r="H739" s="134"/>
    </row>
    <row r="740">
      <c r="D740" s="126"/>
      <c r="H740" s="134"/>
    </row>
    <row r="741">
      <c r="D741" s="126"/>
      <c r="H741" s="134"/>
    </row>
    <row r="742">
      <c r="D742" s="126"/>
      <c r="H742" s="134"/>
    </row>
    <row r="743">
      <c r="D743" s="126"/>
      <c r="H743" s="134"/>
    </row>
    <row r="744">
      <c r="D744" s="126"/>
      <c r="H744" s="134"/>
    </row>
    <row r="745">
      <c r="D745" s="126"/>
      <c r="H745" s="134"/>
    </row>
    <row r="746">
      <c r="D746" s="126"/>
      <c r="H746" s="134"/>
    </row>
    <row r="747">
      <c r="D747" s="126"/>
      <c r="H747" s="134"/>
    </row>
    <row r="748">
      <c r="D748" s="126"/>
      <c r="H748" s="134"/>
    </row>
    <row r="749">
      <c r="D749" s="126"/>
      <c r="H749" s="134"/>
    </row>
    <row r="750">
      <c r="D750" s="126"/>
      <c r="H750" s="134"/>
    </row>
    <row r="751">
      <c r="D751" s="126"/>
      <c r="H751" s="134"/>
    </row>
    <row r="752">
      <c r="D752" s="126"/>
      <c r="H752" s="134"/>
    </row>
    <row r="753">
      <c r="D753" s="126"/>
      <c r="H753" s="134"/>
    </row>
    <row r="754">
      <c r="D754" s="126"/>
      <c r="H754" s="134"/>
    </row>
    <row r="755">
      <c r="D755" s="126"/>
      <c r="H755" s="134"/>
    </row>
    <row r="756">
      <c r="D756" s="126"/>
      <c r="H756" s="134"/>
    </row>
    <row r="757">
      <c r="D757" s="126"/>
      <c r="H757" s="134"/>
    </row>
    <row r="758">
      <c r="D758" s="126"/>
      <c r="H758" s="134"/>
    </row>
    <row r="759">
      <c r="D759" s="126"/>
      <c r="H759" s="134"/>
    </row>
    <row r="760">
      <c r="D760" s="126"/>
      <c r="H760" s="134"/>
    </row>
    <row r="761">
      <c r="D761" s="126"/>
      <c r="H761" s="134"/>
    </row>
    <row r="762">
      <c r="D762" s="126"/>
      <c r="H762" s="134"/>
    </row>
    <row r="763">
      <c r="D763" s="126"/>
      <c r="H763" s="134"/>
    </row>
    <row r="764">
      <c r="D764" s="126"/>
      <c r="H764" s="134"/>
    </row>
    <row r="765">
      <c r="D765" s="126"/>
      <c r="H765" s="134"/>
    </row>
    <row r="766">
      <c r="D766" s="126"/>
      <c r="H766" s="134"/>
    </row>
    <row r="767">
      <c r="D767" s="126"/>
      <c r="H767" s="134"/>
    </row>
    <row r="768">
      <c r="D768" s="126"/>
      <c r="H768" s="134"/>
    </row>
    <row r="769">
      <c r="D769" s="126"/>
      <c r="H769" s="134"/>
    </row>
    <row r="770">
      <c r="D770" s="126"/>
      <c r="H770" s="134"/>
    </row>
    <row r="771">
      <c r="D771" s="126"/>
      <c r="H771" s="134"/>
    </row>
    <row r="772">
      <c r="D772" s="126"/>
      <c r="H772" s="134"/>
    </row>
    <row r="773">
      <c r="D773" s="126"/>
      <c r="H773" s="134"/>
    </row>
    <row r="774">
      <c r="D774" s="126"/>
      <c r="H774" s="134"/>
    </row>
    <row r="775">
      <c r="D775" s="126"/>
      <c r="H775" s="134"/>
    </row>
    <row r="776">
      <c r="D776" s="126"/>
      <c r="H776" s="134"/>
    </row>
    <row r="777">
      <c r="D777" s="126"/>
      <c r="H777" s="134"/>
    </row>
    <row r="778">
      <c r="D778" s="126"/>
      <c r="H778" s="134"/>
    </row>
    <row r="779">
      <c r="D779" s="126"/>
      <c r="H779" s="134"/>
    </row>
    <row r="780">
      <c r="D780" s="126"/>
      <c r="H780" s="134"/>
    </row>
    <row r="781">
      <c r="D781" s="126"/>
      <c r="H781" s="134"/>
    </row>
    <row r="782">
      <c r="D782" s="126"/>
      <c r="H782" s="134"/>
    </row>
    <row r="783">
      <c r="D783" s="126"/>
      <c r="H783" s="134"/>
    </row>
    <row r="784">
      <c r="D784" s="126"/>
      <c r="H784" s="134"/>
    </row>
    <row r="785">
      <c r="D785" s="126"/>
      <c r="H785" s="134"/>
    </row>
    <row r="786">
      <c r="D786" s="126"/>
      <c r="H786" s="134"/>
    </row>
    <row r="787">
      <c r="D787" s="126"/>
      <c r="H787" s="134"/>
    </row>
    <row r="788">
      <c r="D788" s="126"/>
      <c r="H788" s="134"/>
    </row>
    <row r="789">
      <c r="D789" s="126"/>
      <c r="H789" s="134"/>
    </row>
    <row r="790">
      <c r="D790" s="126"/>
      <c r="H790" s="134"/>
    </row>
    <row r="791">
      <c r="D791" s="126"/>
      <c r="H791" s="134"/>
    </row>
    <row r="792">
      <c r="D792" s="126"/>
      <c r="H792" s="134"/>
    </row>
    <row r="793">
      <c r="D793" s="126"/>
      <c r="H793" s="134"/>
    </row>
    <row r="794">
      <c r="D794" s="126"/>
      <c r="H794" s="134"/>
    </row>
    <row r="795">
      <c r="D795" s="126"/>
      <c r="H795" s="134"/>
    </row>
    <row r="796">
      <c r="D796" s="126"/>
      <c r="H796" s="134"/>
    </row>
    <row r="797">
      <c r="D797" s="126"/>
      <c r="H797" s="134"/>
    </row>
    <row r="798">
      <c r="D798" s="126"/>
      <c r="H798" s="134"/>
    </row>
    <row r="799">
      <c r="D799" s="126"/>
      <c r="H799" s="134"/>
    </row>
    <row r="800">
      <c r="D800" s="126"/>
      <c r="H800" s="134"/>
    </row>
    <row r="801">
      <c r="D801" s="126"/>
      <c r="H801" s="134"/>
    </row>
    <row r="802">
      <c r="D802" s="126"/>
      <c r="H802" s="134"/>
    </row>
    <row r="803">
      <c r="D803" s="126"/>
      <c r="H803" s="134"/>
    </row>
    <row r="804">
      <c r="D804" s="126"/>
      <c r="H804" s="134"/>
    </row>
    <row r="805">
      <c r="D805" s="126"/>
      <c r="H805" s="134"/>
    </row>
    <row r="806">
      <c r="D806" s="126"/>
      <c r="H806" s="134"/>
    </row>
    <row r="807">
      <c r="D807" s="126"/>
      <c r="H807" s="134"/>
    </row>
    <row r="808">
      <c r="D808" s="126"/>
      <c r="H808" s="134"/>
    </row>
    <row r="809">
      <c r="D809" s="126"/>
      <c r="H809" s="134"/>
    </row>
    <row r="810">
      <c r="D810" s="126"/>
      <c r="H810" s="134"/>
    </row>
    <row r="811">
      <c r="D811" s="126"/>
      <c r="H811" s="134"/>
    </row>
    <row r="812">
      <c r="D812" s="126"/>
      <c r="H812" s="134"/>
    </row>
    <row r="813">
      <c r="D813" s="126"/>
      <c r="H813" s="134"/>
    </row>
    <row r="814">
      <c r="D814" s="126"/>
      <c r="H814" s="134"/>
    </row>
    <row r="815">
      <c r="D815" s="126"/>
      <c r="H815" s="134"/>
    </row>
    <row r="816">
      <c r="D816" s="126"/>
      <c r="H816" s="134"/>
    </row>
    <row r="817">
      <c r="D817" s="126"/>
      <c r="H817" s="134"/>
    </row>
    <row r="818">
      <c r="D818" s="126"/>
      <c r="H818" s="134"/>
    </row>
    <row r="819">
      <c r="D819" s="126"/>
      <c r="H819" s="134"/>
    </row>
    <row r="820">
      <c r="D820" s="126"/>
      <c r="H820" s="134"/>
    </row>
    <row r="821">
      <c r="D821" s="126"/>
      <c r="H821" s="134"/>
    </row>
    <row r="822">
      <c r="D822" s="126"/>
      <c r="H822" s="134"/>
    </row>
    <row r="823">
      <c r="D823" s="126"/>
      <c r="H823" s="134"/>
    </row>
    <row r="824">
      <c r="D824" s="126"/>
      <c r="H824" s="134"/>
    </row>
    <row r="825">
      <c r="D825" s="126"/>
      <c r="H825" s="134"/>
    </row>
    <row r="826">
      <c r="D826" s="126"/>
      <c r="H826" s="134"/>
    </row>
    <row r="827">
      <c r="D827" s="126"/>
      <c r="H827" s="134"/>
    </row>
    <row r="828">
      <c r="D828" s="126"/>
      <c r="H828" s="134"/>
    </row>
    <row r="829">
      <c r="D829" s="126"/>
      <c r="H829" s="134"/>
    </row>
    <row r="830">
      <c r="D830" s="126"/>
      <c r="H830" s="134"/>
    </row>
    <row r="831">
      <c r="D831" s="126"/>
      <c r="H831" s="134"/>
    </row>
    <row r="832">
      <c r="D832" s="126"/>
      <c r="H832" s="134"/>
    </row>
    <row r="833">
      <c r="D833" s="126"/>
      <c r="H833" s="134"/>
    </row>
    <row r="834">
      <c r="D834" s="126"/>
      <c r="H834" s="134"/>
    </row>
    <row r="835">
      <c r="D835" s="126"/>
      <c r="H835" s="134"/>
    </row>
    <row r="836">
      <c r="D836" s="126"/>
      <c r="H836" s="134"/>
    </row>
    <row r="837">
      <c r="D837" s="126"/>
      <c r="H837" s="134"/>
    </row>
    <row r="838">
      <c r="D838" s="126"/>
      <c r="H838" s="134"/>
    </row>
    <row r="839">
      <c r="D839" s="126"/>
      <c r="H839" s="134"/>
    </row>
    <row r="840">
      <c r="D840" s="126"/>
      <c r="H840" s="134"/>
    </row>
    <row r="841">
      <c r="D841" s="126"/>
      <c r="H841" s="134"/>
    </row>
    <row r="842">
      <c r="D842" s="126"/>
      <c r="H842" s="134"/>
    </row>
    <row r="843">
      <c r="D843" s="126"/>
      <c r="H843" s="134"/>
    </row>
    <row r="844">
      <c r="D844" s="126"/>
      <c r="H844" s="134"/>
    </row>
    <row r="845">
      <c r="D845" s="126"/>
      <c r="H845" s="134"/>
    </row>
    <row r="846">
      <c r="D846" s="126"/>
      <c r="H846" s="134"/>
    </row>
    <row r="847">
      <c r="D847" s="126"/>
      <c r="H847" s="134"/>
    </row>
    <row r="848">
      <c r="D848" s="126"/>
      <c r="H848" s="134"/>
    </row>
    <row r="849">
      <c r="D849" s="126"/>
      <c r="H849" s="134"/>
    </row>
    <row r="850">
      <c r="D850" s="126"/>
      <c r="H850" s="134"/>
    </row>
    <row r="851">
      <c r="D851" s="126"/>
      <c r="H851" s="134"/>
    </row>
    <row r="852">
      <c r="D852" s="126"/>
      <c r="H852" s="134"/>
    </row>
    <row r="853">
      <c r="D853" s="126"/>
      <c r="H853" s="134"/>
    </row>
    <row r="854">
      <c r="D854" s="126"/>
      <c r="H854" s="134"/>
    </row>
    <row r="855">
      <c r="D855" s="126"/>
      <c r="H855" s="134"/>
    </row>
    <row r="856">
      <c r="D856" s="126"/>
      <c r="H856" s="134"/>
    </row>
    <row r="857">
      <c r="D857" s="126"/>
      <c r="H857" s="134"/>
    </row>
    <row r="858">
      <c r="D858" s="126"/>
      <c r="H858" s="134"/>
    </row>
    <row r="859">
      <c r="D859" s="126"/>
      <c r="H859" s="134"/>
    </row>
    <row r="860">
      <c r="D860" s="126"/>
      <c r="H860" s="134"/>
    </row>
    <row r="861">
      <c r="D861" s="126"/>
      <c r="H861" s="134"/>
    </row>
    <row r="862">
      <c r="D862" s="126"/>
      <c r="H862" s="134"/>
    </row>
    <row r="863">
      <c r="D863" s="126"/>
      <c r="H863" s="134"/>
    </row>
    <row r="864">
      <c r="D864" s="126"/>
      <c r="H864" s="134"/>
    </row>
    <row r="865">
      <c r="D865" s="126"/>
      <c r="H865" s="134"/>
    </row>
    <row r="866">
      <c r="D866" s="126"/>
      <c r="H866" s="134"/>
    </row>
    <row r="867">
      <c r="D867" s="126"/>
      <c r="H867" s="134"/>
    </row>
    <row r="868">
      <c r="D868" s="126"/>
      <c r="H868" s="134"/>
    </row>
    <row r="869">
      <c r="D869" s="126"/>
      <c r="H869" s="134"/>
    </row>
    <row r="870">
      <c r="D870" s="126"/>
      <c r="H870" s="134"/>
    </row>
    <row r="871">
      <c r="D871" s="126"/>
      <c r="H871" s="134"/>
    </row>
    <row r="872">
      <c r="D872" s="126"/>
      <c r="H872" s="134"/>
    </row>
    <row r="873">
      <c r="D873" s="126"/>
      <c r="H873" s="134"/>
    </row>
    <row r="874">
      <c r="D874" s="126"/>
      <c r="H874" s="134"/>
    </row>
    <row r="875">
      <c r="D875" s="126"/>
      <c r="H875" s="134"/>
    </row>
    <row r="876">
      <c r="D876" s="126"/>
      <c r="H876" s="134"/>
    </row>
    <row r="877">
      <c r="D877" s="126"/>
      <c r="H877" s="134"/>
    </row>
    <row r="878">
      <c r="D878" s="126"/>
      <c r="H878" s="134"/>
    </row>
    <row r="879">
      <c r="D879" s="126"/>
      <c r="H879" s="134"/>
    </row>
    <row r="880">
      <c r="D880" s="126"/>
      <c r="H880" s="134"/>
    </row>
    <row r="881">
      <c r="D881" s="126"/>
      <c r="H881" s="134"/>
    </row>
    <row r="882">
      <c r="D882" s="126"/>
      <c r="H882" s="134"/>
    </row>
    <row r="883">
      <c r="D883" s="126"/>
      <c r="H883" s="134"/>
    </row>
    <row r="884">
      <c r="D884" s="126"/>
      <c r="H884" s="134"/>
    </row>
    <row r="885">
      <c r="D885" s="126"/>
      <c r="H885" s="134"/>
    </row>
    <row r="886">
      <c r="D886" s="126"/>
      <c r="H886" s="134"/>
    </row>
    <row r="887">
      <c r="D887" s="126"/>
      <c r="H887" s="134"/>
    </row>
    <row r="888">
      <c r="D888" s="126"/>
      <c r="H888" s="134"/>
    </row>
    <row r="889">
      <c r="D889" s="126"/>
      <c r="H889" s="134"/>
    </row>
    <row r="890">
      <c r="D890" s="126"/>
      <c r="H890" s="134"/>
    </row>
    <row r="891">
      <c r="D891" s="126"/>
      <c r="H891" s="134"/>
    </row>
    <row r="892">
      <c r="D892" s="126"/>
      <c r="H892" s="134"/>
    </row>
    <row r="893">
      <c r="D893" s="126"/>
      <c r="H893" s="134"/>
    </row>
    <row r="894">
      <c r="D894" s="126"/>
      <c r="H894" s="134"/>
    </row>
    <row r="895">
      <c r="D895" s="126"/>
      <c r="H895" s="134"/>
    </row>
    <row r="896">
      <c r="D896" s="126"/>
      <c r="H896" s="134"/>
    </row>
    <row r="897">
      <c r="D897" s="126"/>
      <c r="H897" s="134"/>
    </row>
    <row r="898">
      <c r="D898" s="126"/>
      <c r="H898" s="134"/>
    </row>
    <row r="899">
      <c r="D899" s="126"/>
      <c r="H899" s="134"/>
    </row>
    <row r="900">
      <c r="D900" s="126"/>
      <c r="H900" s="134"/>
    </row>
    <row r="901">
      <c r="D901" s="126"/>
      <c r="H901" s="134"/>
    </row>
    <row r="902">
      <c r="D902" s="126"/>
      <c r="H902" s="134"/>
    </row>
    <row r="903">
      <c r="D903" s="126"/>
      <c r="H903" s="134"/>
    </row>
    <row r="904">
      <c r="D904" s="126"/>
      <c r="H904" s="134"/>
    </row>
    <row r="905">
      <c r="D905" s="126"/>
      <c r="H905" s="134"/>
    </row>
    <row r="906">
      <c r="D906" s="126"/>
      <c r="H906" s="134"/>
    </row>
    <row r="907">
      <c r="D907" s="126"/>
      <c r="H907" s="134"/>
    </row>
    <row r="908">
      <c r="D908" s="126"/>
      <c r="H908" s="134"/>
    </row>
    <row r="909">
      <c r="D909" s="126"/>
      <c r="H909" s="134"/>
    </row>
    <row r="910">
      <c r="D910" s="126"/>
      <c r="H910" s="134"/>
    </row>
    <row r="911">
      <c r="D911" s="126"/>
      <c r="H911" s="134"/>
    </row>
    <row r="912">
      <c r="D912" s="126"/>
      <c r="H912" s="134"/>
    </row>
    <row r="913">
      <c r="D913" s="126"/>
      <c r="H913" s="134"/>
    </row>
    <row r="914">
      <c r="D914" s="126"/>
      <c r="H914" s="134"/>
    </row>
    <row r="915">
      <c r="D915" s="126"/>
      <c r="H915" s="134"/>
    </row>
    <row r="916">
      <c r="D916" s="126"/>
      <c r="H916" s="134"/>
    </row>
    <row r="917">
      <c r="D917" s="126"/>
      <c r="H917" s="134"/>
    </row>
    <row r="918">
      <c r="D918" s="126"/>
      <c r="H918" s="134"/>
    </row>
    <row r="919">
      <c r="D919" s="126"/>
      <c r="H919" s="134"/>
    </row>
    <row r="920">
      <c r="D920" s="126"/>
      <c r="H920" s="134"/>
    </row>
    <row r="921">
      <c r="D921" s="126"/>
      <c r="H921" s="134"/>
    </row>
    <row r="922">
      <c r="D922" s="126"/>
      <c r="H922" s="134"/>
    </row>
    <row r="923">
      <c r="D923" s="126"/>
      <c r="H923" s="134"/>
    </row>
    <row r="924">
      <c r="D924" s="126"/>
      <c r="H924" s="134"/>
    </row>
    <row r="925">
      <c r="D925" s="126"/>
      <c r="H925" s="134"/>
    </row>
    <row r="926">
      <c r="D926" s="126"/>
      <c r="H926" s="134"/>
    </row>
    <row r="927">
      <c r="D927" s="126"/>
      <c r="H927" s="134"/>
    </row>
    <row r="928">
      <c r="D928" s="126"/>
      <c r="H928" s="134"/>
    </row>
    <row r="929">
      <c r="D929" s="126"/>
      <c r="H929" s="134"/>
    </row>
    <row r="930">
      <c r="D930" s="126"/>
      <c r="H930" s="134"/>
    </row>
    <row r="931">
      <c r="D931" s="126"/>
      <c r="H931" s="134"/>
    </row>
    <row r="932">
      <c r="D932" s="126"/>
      <c r="H932" s="134"/>
    </row>
    <row r="933">
      <c r="D933" s="126"/>
      <c r="H933" s="134"/>
    </row>
    <row r="934">
      <c r="D934" s="126"/>
      <c r="H934" s="134"/>
    </row>
    <row r="935">
      <c r="D935" s="126"/>
      <c r="H935" s="134"/>
    </row>
    <row r="936">
      <c r="D936" s="126"/>
      <c r="H936" s="134"/>
    </row>
    <row r="937">
      <c r="D937" s="126"/>
      <c r="H937" s="134"/>
    </row>
    <row r="938">
      <c r="D938" s="126"/>
      <c r="H938" s="134"/>
    </row>
    <row r="939">
      <c r="D939" s="126"/>
      <c r="H939" s="134"/>
    </row>
    <row r="940">
      <c r="D940" s="126"/>
      <c r="H940" s="134"/>
    </row>
    <row r="941">
      <c r="D941" s="126"/>
      <c r="H941" s="134"/>
    </row>
    <row r="942">
      <c r="D942" s="126"/>
      <c r="H942" s="134"/>
    </row>
    <row r="943">
      <c r="D943" s="126"/>
      <c r="H943" s="134"/>
    </row>
    <row r="944">
      <c r="D944" s="126"/>
      <c r="H944" s="134"/>
    </row>
    <row r="945">
      <c r="D945" s="126"/>
      <c r="H945" s="134"/>
    </row>
    <row r="946">
      <c r="D946" s="126"/>
      <c r="H946" s="134"/>
    </row>
    <row r="947">
      <c r="D947" s="126"/>
      <c r="H947" s="134"/>
    </row>
    <row r="948">
      <c r="D948" s="126"/>
      <c r="H948" s="134"/>
    </row>
    <row r="949">
      <c r="D949" s="126"/>
      <c r="H949" s="134"/>
    </row>
    <row r="950">
      <c r="D950" s="126"/>
      <c r="H950" s="134"/>
    </row>
    <row r="951">
      <c r="D951" s="126"/>
      <c r="H951" s="134"/>
    </row>
    <row r="952">
      <c r="D952" s="126"/>
      <c r="H952" s="134"/>
    </row>
    <row r="953">
      <c r="D953" s="126"/>
      <c r="H953" s="134"/>
    </row>
    <row r="954">
      <c r="D954" s="126"/>
      <c r="H954" s="134"/>
    </row>
    <row r="955">
      <c r="D955" s="126"/>
      <c r="H955" s="134"/>
    </row>
    <row r="956">
      <c r="D956" s="126"/>
      <c r="H956" s="134"/>
    </row>
    <row r="957">
      <c r="D957" s="126"/>
      <c r="H957" s="134"/>
    </row>
    <row r="958">
      <c r="D958" s="126"/>
      <c r="H958" s="134"/>
    </row>
    <row r="959">
      <c r="D959" s="126"/>
      <c r="H959" s="134"/>
    </row>
    <row r="960">
      <c r="D960" s="126"/>
      <c r="H960" s="134"/>
    </row>
    <row r="961">
      <c r="D961" s="126"/>
      <c r="H961" s="134"/>
    </row>
    <row r="962">
      <c r="D962" s="126"/>
      <c r="H962" s="134"/>
    </row>
    <row r="963">
      <c r="D963" s="126"/>
      <c r="H963" s="134"/>
    </row>
    <row r="964">
      <c r="D964" s="126"/>
      <c r="H964" s="134"/>
    </row>
    <row r="965">
      <c r="D965" s="126"/>
      <c r="H965" s="134"/>
    </row>
    <row r="966">
      <c r="D966" s="126"/>
      <c r="H966" s="134"/>
    </row>
    <row r="967">
      <c r="D967" s="126"/>
      <c r="H967" s="134"/>
    </row>
    <row r="968">
      <c r="D968" s="126"/>
      <c r="H968" s="134"/>
    </row>
    <row r="969">
      <c r="D969" s="126"/>
      <c r="H969" s="134"/>
    </row>
    <row r="970">
      <c r="D970" s="126"/>
      <c r="H970" s="134"/>
    </row>
    <row r="971">
      <c r="D971" s="126"/>
      <c r="H971" s="134"/>
    </row>
    <row r="972">
      <c r="D972" s="126"/>
      <c r="H972" s="134"/>
    </row>
    <row r="973">
      <c r="D973" s="126"/>
      <c r="H973" s="134"/>
    </row>
    <row r="974">
      <c r="D974" s="126"/>
      <c r="H974" s="134"/>
    </row>
    <row r="975">
      <c r="D975" s="126"/>
      <c r="H975" s="134"/>
    </row>
    <row r="976">
      <c r="D976" s="126"/>
      <c r="H976" s="134"/>
    </row>
    <row r="977">
      <c r="D977" s="126"/>
      <c r="H977" s="134"/>
    </row>
    <row r="978">
      <c r="D978" s="126"/>
      <c r="H978" s="134"/>
    </row>
    <row r="979">
      <c r="D979" s="126"/>
      <c r="H979" s="134"/>
    </row>
    <row r="980">
      <c r="D980" s="126"/>
      <c r="H980" s="134"/>
    </row>
    <row r="981">
      <c r="D981" s="126"/>
      <c r="H981" s="134"/>
    </row>
    <row r="982">
      <c r="D982" s="126"/>
      <c r="H982" s="134"/>
    </row>
    <row r="983">
      <c r="D983" s="126"/>
      <c r="H983" s="134"/>
    </row>
    <row r="984">
      <c r="D984" s="126"/>
      <c r="H984" s="134"/>
    </row>
    <row r="985">
      <c r="D985" s="126"/>
      <c r="H985" s="134"/>
    </row>
    <row r="986">
      <c r="D986" s="126"/>
      <c r="H986" s="134"/>
    </row>
    <row r="987">
      <c r="D987" s="126"/>
      <c r="H987" s="134"/>
    </row>
    <row r="988">
      <c r="D988" s="126"/>
      <c r="H988" s="134"/>
    </row>
    <row r="989">
      <c r="D989" s="126"/>
      <c r="H989" s="13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F24"/>
    <hyperlink r:id="rId25" ref="D25"/>
    <hyperlink r:id="rId26" ref="F25"/>
    <hyperlink r:id="rId27" ref="D26"/>
    <hyperlink r:id="rId28" ref="F26"/>
  </hyperlinks>
  <drawing r:id="rId29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43"/>
    <col customWidth="1" min="2" max="2" width="11.29"/>
    <col customWidth="1" min="3" max="3" width="12.29"/>
    <col customWidth="1" min="4" max="4" width="27.14"/>
    <col customWidth="1" min="5" max="5" width="13.43"/>
    <col customWidth="1" min="6" max="6" width="21.71"/>
    <col customWidth="1" min="7" max="7" width="16.0"/>
    <col customWidth="1" min="8" max="8" width="28.86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57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9" t="s">
        <v>10</v>
      </c>
      <c r="L1" s="81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77" t="s">
        <v>19</v>
      </c>
      <c r="U1" s="17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3"/>
      <c r="AA1" s="40"/>
    </row>
    <row r="2">
      <c r="A2" s="20" t="s">
        <v>2393</v>
      </c>
      <c r="B2" s="20" t="s">
        <v>2394</v>
      </c>
      <c r="C2" s="20" t="s">
        <v>112</v>
      </c>
      <c r="D2" s="87" t="s">
        <v>2395</v>
      </c>
      <c r="E2" s="20" t="s">
        <v>2396</v>
      </c>
      <c r="F2" s="162" t="s">
        <v>2397</v>
      </c>
      <c r="G2" s="20"/>
      <c r="H2" s="20" t="s">
        <v>2398</v>
      </c>
      <c r="I2" s="20"/>
      <c r="J2" s="20" t="s">
        <v>412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44"/>
    </row>
    <row r="3">
      <c r="A3" s="20" t="s">
        <v>2399</v>
      </c>
      <c r="B3" s="20" t="s">
        <v>2394</v>
      </c>
      <c r="C3" s="20" t="s">
        <v>3429</v>
      </c>
      <c r="D3" s="84"/>
      <c r="E3" s="20" t="s">
        <v>2400</v>
      </c>
      <c r="F3" s="20"/>
      <c r="G3" s="20" t="s">
        <v>2401</v>
      </c>
      <c r="H3" s="20" t="s">
        <v>2402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44"/>
    </row>
    <row r="4">
      <c r="A4" s="20" t="s">
        <v>2403</v>
      </c>
      <c r="B4" s="20" t="s">
        <v>2394</v>
      </c>
      <c r="C4" s="20" t="s">
        <v>3429</v>
      </c>
      <c r="D4" s="87" t="s">
        <v>2404</v>
      </c>
      <c r="E4" s="20">
        <v>7821798.0</v>
      </c>
      <c r="F4" s="20" t="s">
        <v>2405</v>
      </c>
      <c r="G4" s="20"/>
      <c r="H4" s="20" t="s">
        <v>2406</v>
      </c>
      <c r="I4" s="20"/>
      <c r="J4" s="20"/>
      <c r="K4" s="20"/>
      <c r="L4" s="20"/>
      <c r="M4" s="20"/>
      <c r="N4" s="20"/>
      <c r="O4" s="20"/>
      <c r="P4" s="20"/>
      <c r="Q4" s="20"/>
      <c r="R4" s="20" t="s">
        <v>412</v>
      </c>
      <c r="S4" s="20"/>
      <c r="T4" s="20"/>
      <c r="U4" s="20"/>
      <c r="V4" s="20"/>
      <c r="W4" s="20"/>
      <c r="X4" s="20"/>
      <c r="Y4" s="20" t="s">
        <v>412</v>
      </c>
      <c r="Z4" s="44"/>
    </row>
    <row r="5">
      <c r="A5" s="20" t="s">
        <v>2407</v>
      </c>
      <c r="B5" s="20" t="s">
        <v>3566</v>
      </c>
      <c r="C5" s="20" t="s">
        <v>90</v>
      </c>
      <c r="D5" s="181" t="s">
        <v>2408</v>
      </c>
      <c r="E5" s="20" t="s">
        <v>2409</v>
      </c>
      <c r="F5" s="20" t="s">
        <v>2410</v>
      </c>
      <c r="G5" s="20"/>
      <c r="H5" s="20" t="s">
        <v>2411</v>
      </c>
      <c r="I5" s="20"/>
      <c r="J5" s="20"/>
      <c r="K5" s="20"/>
      <c r="L5" s="20"/>
      <c r="M5" s="20"/>
      <c r="N5" s="20"/>
      <c r="O5" s="20"/>
      <c r="P5" s="20"/>
      <c r="Q5" s="20"/>
      <c r="R5" s="20" t="s">
        <v>34</v>
      </c>
      <c r="S5" s="20" t="s">
        <v>2412</v>
      </c>
      <c r="T5" s="20"/>
      <c r="U5" s="20"/>
      <c r="V5" s="20" t="s">
        <v>413</v>
      </c>
      <c r="W5" s="20"/>
      <c r="X5" s="20"/>
      <c r="Y5" s="20"/>
    </row>
    <row r="6">
      <c r="A6" s="20" t="s">
        <v>2413</v>
      </c>
      <c r="B6" s="20" t="s">
        <v>2394</v>
      </c>
      <c r="C6" s="20" t="s">
        <v>3418</v>
      </c>
      <c r="D6" s="87" t="s">
        <v>2414</v>
      </c>
      <c r="E6" s="20" t="s">
        <v>2400</v>
      </c>
      <c r="F6" s="20" t="s">
        <v>2415</v>
      </c>
      <c r="G6" s="20" t="s">
        <v>2401</v>
      </c>
      <c r="H6" s="20" t="s">
        <v>2416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20" t="s">
        <v>2417</v>
      </c>
      <c r="B7" s="20" t="s">
        <v>2394</v>
      </c>
      <c r="C7" s="20" t="s">
        <v>3418</v>
      </c>
      <c r="D7" s="84"/>
      <c r="E7" s="20" t="s">
        <v>2418</v>
      </c>
      <c r="F7" s="162" t="s">
        <v>2419</v>
      </c>
      <c r="G7" s="20" t="s">
        <v>2420</v>
      </c>
      <c r="H7" s="20" t="s">
        <v>2421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20" t="s">
        <v>2422</v>
      </c>
      <c r="B8" s="20" t="s">
        <v>2394</v>
      </c>
      <c r="C8" s="20" t="s">
        <v>3435</v>
      </c>
      <c r="D8" s="87" t="s">
        <v>2423</v>
      </c>
      <c r="E8" s="20">
        <v>5.3440622E7</v>
      </c>
      <c r="F8" s="20" t="s">
        <v>2424</v>
      </c>
      <c r="G8" s="20" t="s">
        <v>2425</v>
      </c>
      <c r="H8" s="20" t="s">
        <v>2426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0" t="s">
        <v>2427</v>
      </c>
      <c r="B9" s="20" t="s">
        <v>2394</v>
      </c>
      <c r="C9" s="20" t="s">
        <v>388</v>
      </c>
      <c r="D9" s="87" t="s">
        <v>2428</v>
      </c>
      <c r="E9" s="20" t="s">
        <v>2429</v>
      </c>
      <c r="F9" s="162" t="s">
        <v>2430</v>
      </c>
      <c r="G9" s="20"/>
      <c r="H9" s="20" t="s">
        <v>2431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0" t="s">
        <v>2432</v>
      </c>
      <c r="B10" s="20" t="s">
        <v>2394</v>
      </c>
      <c r="C10" s="20" t="s">
        <v>3567</v>
      </c>
      <c r="D10" s="87" t="s">
        <v>2433</v>
      </c>
      <c r="E10" s="20" t="s">
        <v>2434</v>
      </c>
      <c r="F10" s="20" t="s">
        <v>2435</v>
      </c>
      <c r="G10" s="20"/>
      <c r="H10" s="20" t="s">
        <v>2436</v>
      </c>
      <c r="I10" s="20"/>
      <c r="J10" s="20" t="s">
        <v>412</v>
      </c>
      <c r="K10" s="20"/>
      <c r="L10" s="20"/>
      <c r="M10" s="20"/>
      <c r="N10" s="20" t="s">
        <v>412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136" t="s">
        <v>2437</v>
      </c>
      <c r="B11" s="136" t="s">
        <v>2394</v>
      </c>
      <c r="C11" s="136" t="s">
        <v>29</v>
      </c>
      <c r="D11" s="126"/>
      <c r="F11" s="182" t="s">
        <v>2438</v>
      </c>
      <c r="G11" s="136" t="s">
        <v>2439</v>
      </c>
    </row>
    <row r="12">
      <c r="D12" s="126"/>
    </row>
    <row r="13">
      <c r="D13" s="126"/>
    </row>
    <row r="14">
      <c r="D14" s="126"/>
    </row>
    <row r="15">
      <c r="D15" s="126"/>
    </row>
    <row r="16">
      <c r="D16" s="126"/>
    </row>
    <row r="17">
      <c r="D17" s="126"/>
    </row>
    <row r="18">
      <c r="D18" s="126"/>
    </row>
    <row r="19">
      <c r="D19" s="126"/>
    </row>
    <row r="20">
      <c r="D20" s="126"/>
    </row>
    <row r="21">
      <c r="D21" s="126"/>
    </row>
    <row r="22">
      <c r="D22" s="126"/>
    </row>
    <row r="23">
      <c r="D23" s="126"/>
    </row>
    <row r="24">
      <c r="D24" s="126"/>
    </row>
    <row r="25">
      <c r="D25" s="126"/>
    </row>
    <row r="26">
      <c r="D26" s="126"/>
    </row>
    <row r="27">
      <c r="D27" s="126"/>
    </row>
    <row r="28">
      <c r="D28" s="126"/>
    </row>
    <row r="29">
      <c r="D29" s="126"/>
    </row>
    <row r="30">
      <c r="D30" s="126"/>
    </row>
    <row r="31">
      <c r="D31" s="126"/>
    </row>
    <row r="32">
      <c r="D32" s="126"/>
    </row>
    <row r="33">
      <c r="D33" s="126"/>
    </row>
    <row r="34">
      <c r="D34" s="126"/>
    </row>
    <row r="35">
      <c r="D35" s="126"/>
    </row>
    <row r="36">
      <c r="D36" s="126"/>
    </row>
    <row r="37">
      <c r="D37" s="126"/>
    </row>
    <row r="38">
      <c r="D38" s="126"/>
    </row>
    <row r="39">
      <c r="D39" s="126"/>
    </row>
    <row r="40">
      <c r="D40" s="126"/>
    </row>
    <row r="41">
      <c r="D41" s="126"/>
    </row>
    <row r="42">
      <c r="D42" s="126"/>
    </row>
    <row r="43">
      <c r="D43" s="126"/>
    </row>
    <row r="44">
      <c r="D44" s="126"/>
    </row>
    <row r="45">
      <c r="D45" s="126"/>
    </row>
    <row r="46">
      <c r="D46" s="126"/>
    </row>
    <row r="47">
      <c r="D47" s="126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</sheetData>
  <hyperlinks>
    <hyperlink r:id="rId1" ref="D2"/>
    <hyperlink r:id="rId2" ref="F2"/>
    <hyperlink r:id="rId3" ref="D4"/>
    <hyperlink r:id="rId4" ref="D5"/>
    <hyperlink r:id="rId5" ref="D6"/>
    <hyperlink r:id="rId6" ref="F7"/>
    <hyperlink r:id="rId7" ref="D8"/>
    <hyperlink r:id="rId8" ref="D9"/>
    <hyperlink r:id="rId9" ref="F9"/>
    <hyperlink r:id="rId10" ref="D10"/>
    <hyperlink r:id="rId11" ref="F11"/>
  </hyperlinks>
  <drawing r:id="rId1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1.29"/>
    <col customWidth="1" min="3" max="3" width="11.86"/>
    <col customWidth="1" min="4" max="4" width="42.14"/>
    <col customWidth="1" min="5" max="5" width="13.43"/>
    <col customWidth="1" min="6" max="6" width="28.57"/>
    <col customWidth="1" min="7" max="7" width="27.0"/>
    <col customWidth="1" min="8" max="8" width="40.43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57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8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40"/>
    </row>
    <row r="2">
      <c r="A2" s="174" t="s">
        <v>2440</v>
      </c>
      <c r="B2" s="37" t="s">
        <v>2441</v>
      </c>
      <c r="C2" s="37" t="s">
        <v>112</v>
      </c>
      <c r="D2" s="42"/>
      <c r="E2" s="37" t="s">
        <v>2442</v>
      </c>
      <c r="F2" s="45" t="s">
        <v>2443</v>
      </c>
      <c r="G2" s="37" t="s">
        <v>2444</v>
      </c>
      <c r="H2" s="37" t="s">
        <v>2445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44"/>
    </row>
    <row r="3">
      <c r="A3" s="174" t="s">
        <v>2446</v>
      </c>
      <c r="B3" s="37" t="s">
        <v>2441</v>
      </c>
      <c r="C3" s="37" t="s">
        <v>112</v>
      </c>
      <c r="D3" s="42"/>
      <c r="E3" s="37" t="s">
        <v>2447</v>
      </c>
      <c r="F3" s="45" t="s">
        <v>2448</v>
      </c>
      <c r="G3" s="37" t="s">
        <v>2449</v>
      </c>
      <c r="H3" s="37" t="s">
        <v>2450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44"/>
    </row>
    <row r="4">
      <c r="A4" s="174" t="s">
        <v>2451</v>
      </c>
      <c r="B4" s="37" t="s">
        <v>2441</v>
      </c>
      <c r="C4" s="37" t="s">
        <v>112</v>
      </c>
      <c r="D4" s="42"/>
      <c r="E4" s="37" t="s">
        <v>2452</v>
      </c>
      <c r="F4" s="45" t="s">
        <v>2453</v>
      </c>
      <c r="G4" s="37" t="s">
        <v>2454</v>
      </c>
      <c r="H4" s="37" t="s">
        <v>2455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44"/>
    </row>
    <row r="5">
      <c r="A5" s="174" t="s">
        <v>2456</v>
      </c>
      <c r="B5" s="37" t="s">
        <v>2441</v>
      </c>
      <c r="C5" s="37" t="s">
        <v>112</v>
      </c>
      <c r="D5" s="42"/>
      <c r="E5" s="37" t="s">
        <v>2457</v>
      </c>
      <c r="F5" s="37" t="s">
        <v>2458</v>
      </c>
      <c r="G5" s="37" t="s">
        <v>2459</v>
      </c>
      <c r="H5" s="37" t="s">
        <v>2460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44"/>
    </row>
    <row r="6">
      <c r="A6" s="174" t="s">
        <v>2461</v>
      </c>
      <c r="B6" s="37" t="s">
        <v>2441</v>
      </c>
      <c r="C6" s="37" t="s">
        <v>112</v>
      </c>
      <c r="D6" s="42"/>
      <c r="E6" s="37" t="s">
        <v>2462</v>
      </c>
      <c r="F6" s="37" t="s">
        <v>2463</v>
      </c>
      <c r="G6" s="37" t="s">
        <v>2444</v>
      </c>
      <c r="H6" s="37" t="s">
        <v>2464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174" t="s">
        <v>2465</v>
      </c>
      <c r="B7" s="37" t="s">
        <v>2441</v>
      </c>
      <c r="C7" s="37" t="s">
        <v>112</v>
      </c>
      <c r="D7" s="42"/>
      <c r="E7" s="37" t="s">
        <v>2466</v>
      </c>
      <c r="F7" s="45" t="s">
        <v>2467</v>
      </c>
      <c r="G7" s="37" t="s">
        <v>2468</v>
      </c>
      <c r="H7" s="37" t="s">
        <v>2469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174" t="s">
        <v>2470</v>
      </c>
      <c r="B8" s="37" t="s">
        <v>2441</v>
      </c>
      <c r="C8" s="37" t="s">
        <v>112</v>
      </c>
      <c r="D8" s="42"/>
      <c r="E8" s="37" t="s">
        <v>2471</v>
      </c>
      <c r="F8" s="45" t="s">
        <v>2472</v>
      </c>
      <c r="G8" s="37" t="s">
        <v>2473</v>
      </c>
      <c r="H8" s="37" t="s">
        <v>2474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174" t="s">
        <v>2475</v>
      </c>
      <c r="B9" s="37" t="s">
        <v>2441</v>
      </c>
      <c r="C9" s="37" t="s">
        <v>112</v>
      </c>
      <c r="D9" s="42"/>
      <c r="E9" s="37" t="s">
        <v>2476</v>
      </c>
      <c r="F9" s="37" t="s">
        <v>2477</v>
      </c>
      <c r="G9" s="37" t="s">
        <v>2478</v>
      </c>
      <c r="H9" s="37" t="s">
        <v>2479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174" t="s">
        <v>2480</v>
      </c>
      <c r="B10" s="37" t="s">
        <v>2441</v>
      </c>
      <c r="C10" s="37" t="s">
        <v>112</v>
      </c>
      <c r="D10" s="42"/>
      <c r="E10" s="37" t="s">
        <v>2481</v>
      </c>
      <c r="F10" s="45" t="s">
        <v>2482</v>
      </c>
      <c r="G10" s="37" t="s">
        <v>2483</v>
      </c>
      <c r="H10" s="37" t="s">
        <v>2484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174" t="s">
        <v>2485</v>
      </c>
      <c r="B11" s="37" t="s">
        <v>2441</v>
      </c>
      <c r="C11" s="37" t="s">
        <v>112</v>
      </c>
      <c r="D11" s="42"/>
      <c r="E11" s="37" t="s">
        <v>2486</v>
      </c>
      <c r="F11" s="37" t="s">
        <v>2487</v>
      </c>
      <c r="G11" s="37" t="s">
        <v>2488</v>
      </c>
      <c r="H11" s="37" t="s">
        <v>2489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174" t="s">
        <v>2490</v>
      </c>
      <c r="B12" s="37" t="s">
        <v>2441</v>
      </c>
      <c r="C12" s="37" t="s">
        <v>112</v>
      </c>
      <c r="D12" s="42"/>
      <c r="E12" s="37" t="s">
        <v>2491</v>
      </c>
      <c r="F12" s="45" t="s">
        <v>2492</v>
      </c>
      <c r="G12" s="37" t="s">
        <v>2493</v>
      </c>
      <c r="H12" s="37" t="s">
        <v>2494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174" t="s">
        <v>2495</v>
      </c>
      <c r="B13" s="37" t="s">
        <v>2441</v>
      </c>
      <c r="C13" s="37" t="s">
        <v>112</v>
      </c>
      <c r="D13" s="42"/>
      <c r="E13" s="37" t="s">
        <v>2496</v>
      </c>
      <c r="F13" s="45" t="s">
        <v>2497</v>
      </c>
      <c r="G13" s="37" t="s">
        <v>2498</v>
      </c>
      <c r="H13" s="37" t="s">
        <v>2499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174" t="s">
        <v>2500</v>
      </c>
      <c r="B14" s="37" t="s">
        <v>2441</v>
      </c>
      <c r="C14" s="37" t="s">
        <v>112</v>
      </c>
      <c r="D14" s="42"/>
      <c r="E14" s="37" t="s">
        <v>2501</v>
      </c>
      <c r="F14" s="45" t="s">
        <v>2502</v>
      </c>
      <c r="G14" s="37" t="s">
        <v>2503</v>
      </c>
      <c r="H14" s="37" t="s">
        <v>2504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37" t="s">
        <v>2407</v>
      </c>
      <c r="B15" s="37" t="s">
        <v>2441</v>
      </c>
      <c r="C15" s="37" t="s">
        <v>90</v>
      </c>
      <c r="D15" s="38" t="s">
        <v>2408</v>
      </c>
      <c r="E15" s="37" t="s">
        <v>2409</v>
      </c>
      <c r="F15" s="37" t="s">
        <v>2505</v>
      </c>
      <c r="G15" s="37"/>
      <c r="H15" s="37" t="s">
        <v>2411</v>
      </c>
      <c r="I15" s="37"/>
      <c r="J15" s="37"/>
      <c r="K15" s="37"/>
      <c r="L15" s="37"/>
      <c r="M15" s="37"/>
      <c r="N15" s="37"/>
      <c r="O15" s="37"/>
      <c r="P15" s="37"/>
      <c r="Q15" s="37"/>
      <c r="R15" s="37" t="s">
        <v>34</v>
      </c>
      <c r="S15" s="37" t="s">
        <v>2412</v>
      </c>
      <c r="T15" s="37"/>
      <c r="U15" s="37"/>
      <c r="V15" s="37" t="s">
        <v>413</v>
      </c>
      <c r="W15" s="37"/>
      <c r="X15" s="37"/>
      <c r="Y15" s="37"/>
    </row>
    <row r="16">
      <c r="A16" s="174" t="s">
        <v>2506</v>
      </c>
      <c r="B16" s="37" t="s">
        <v>2441</v>
      </c>
      <c r="C16" s="37" t="s">
        <v>211</v>
      </c>
      <c r="D16" s="38" t="s">
        <v>2507</v>
      </c>
      <c r="E16" s="37">
        <v>5030676.0</v>
      </c>
      <c r="F16" s="37" t="s">
        <v>2508</v>
      </c>
      <c r="G16" s="37" t="s">
        <v>2509</v>
      </c>
      <c r="H16" s="37" t="s">
        <v>2510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174" t="s">
        <v>2511</v>
      </c>
      <c r="B17" s="37" t="s">
        <v>2441</v>
      </c>
      <c r="C17" s="37" t="s">
        <v>211</v>
      </c>
      <c r="D17" s="38" t="s">
        <v>2512</v>
      </c>
      <c r="E17" s="37" t="s">
        <v>2513</v>
      </c>
      <c r="F17" s="37" t="s">
        <v>2514</v>
      </c>
      <c r="G17" s="37" t="s">
        <v>2509</v>
      </c>
      <c r="H17" s="37" t="s">
        <v>2515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174" t="s">
        <v>2516</v>
      </c>
      <c r="B18" s="37" t="s">
        <v>2441</v>
      </c>
      <c r="C18" s="37" t="s">
        <v>211</v>
      </c>
      <c r="D18" s="38" t="s">
        <v>2517</v>
      </c>
      <c r="E18" s="37" t="s">
        <v>2518</v>
      </c>
      <c r="F18" s="45" t="s">
        <v>2519</v>
      </c>
      <c r="G18" s="37" t="s">
        <v>2209</v>
      </c>
      <c r="H18" s="37" t="s">
        <v>2520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174" t="s">
        <v>2521</v>
      </c>
      <c r="B19" s="37" t="s">
        <v>2441</v>
      </c>
      <c r="C19" s="37" t="s">
        <v>262</v>
      </c>
      <c r="D19" s="42"/>
      <c r="E19" s="37" t="s">
        <v>2522</v>
      </c>
      <c r="F19" s="45" t="s">
        <v>2523</v>
      </c>
      <c r="G19" s="37" t="s">
        <v>2524</v>
      </c>
      <c r="H19" s="37" t="s">
        <v>2525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174" t="s">
        <v>2526</v>
      </c>
      <c r="B20" s="37" t="s">
        <v>2441</v>
      </c>
      <c r="C20" s="37" t="s">
        <v>262</v>
      </c>
      <c r="D20" s="42"/>
      <c r="E20" s="37" t="s">
        <v>2527</v>
      </c>
      <c r="F20" s="37" t="s">
        <v>2528</v>
      </c>
      <c r="G20" s="37" t="s">
        <v>2444</v>
      </c>
      <c r="H20" s="37" t="s">
        <v>2529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174" t="s">
        <v>2530</v>
      </c>
      <c r="B21" s="37" t="s">
        <v>2441</v>
      </c>
      <c r="C21" s="37" t="s">
        <v>262</v>
      </c>
      <c r="D21" s="42"/>
      <c r="E21" s="37" t="s">
        <v>2531</v>
      </c>
      <c r="F21" s="45" t="s">
        <v>2532</v>
      </c>
      <c r="G21" s="37" t="s">
        <v>2533</v>
      </c>
      <c r="H21" s="37" t="s">
        <v>2534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174" t="s">
        <v>2535</v>
      </c>
      <c r="B22" s="37" t="s">
        <v>2441</v>
      </c>
      <c r="C22" s="37" t="s">
        <v>262</v>
      </c>
      <c r="D22" s="38" t="s">
        <v>2536</v>
      </c>
      <c r="E22" s="37" t="s">
        <v>2537</v>
      </c>
      <c r="F22" s="37" t="s">
        <v>2538</v>
      </c>
      <c r="G22" s="37" t="s">
        <v>2539</v>
      </c>
      <c r="H22" s="37" t="s">
        <v>2540</v>
      </c>
      <c r="I22" s="37"/>
      <c r="J22" s="37" t="s">
        <v>412</v>
      </c>
      <c r="K22" s="37"/>
      <c r="L22" s="37"/>
      <c r="M22" s="37"/>
      <c r="N22" s="37" t="s">
        <v>412</v>
      </c>
      <c r="O22" s="37"/>
      <c r="P22" s="37" t="s">
        <v>412</v>
      </c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174" t="s">
        <v>2541</v>
      </c>
      <c r="B23" s="37" t="s">
        <v>2441</v>
      </c>
      <c r="C23" s="37" t="s">
        <v>262</v>
      </c>
      <c r="D23" s="42"/>
      <c r="E23" s="37" t="s">
        <v>2542</v>
      </c>
      <c r="F23" s="37" t="s">
        <v>2543</v>
      </c>
      <c r="G23" s="45" t="s">
        <v>3568</v>
      </c>
      <c r="H23" s="37" t="s">
        <v>2545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174" t="s">
        <v>2546</v>
      </c>
      <c r="B24" s="37" t="s">
        <v>2441</v>
      </c>
      <c r="C24" s="37" t="s">
        <v>3458</v>
      </c>
      <c r="D24" s="38" t="s">
        <v>2547</v>
      </c>
      <c r="E24" s="37" t="s">
        <v>2548</v>
      </c>
      <c r="F24" s="45" t="s">
        <v>2549</v>
      </c>
      <c r="G24" s="37" t="s">
        <v>2550</v>
      </c>
      <c r="H24" s="37" t="s">
        <v>2551</v>
      </c>
      <c r="I24" s="37"/>
      <c r="J24" s="37" t="s">
        <v>37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175" t="s">
        <v>2552</v>
      </c>
      <c r="B25" s="37" t="s">
        <v>2441</v>
      </c>
      <c r="C25" s="37" t="s">
        <v>3430</v>
      </c>
      <c r="D25" s="38" t="s">
        <v>2553</v>
      </c>
      <c r="E25" s="37">
        <v>5135350.0</v>
      </c>
      <c r="F25" s="37" t="s">
        <v>2554</v>
      </c>
      <c r="G25" s="37"/>
      <c r="H25" s="37" t="s">
        <v>2555</v>
      </c>
      <c r="I25" s="37"/>
      <c r="J25" s="37" t="s">
        <v>412</v>
      </c>
      <c r="K25" s="37" t="s">
        <v>3569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 t="s">
        <v>412</v>
      </c>
    </row>
    <row r="26">
      <c r="A26" s="174" t="s">
        <v>2556</v>
      </c>
      <c r="B26" s="37" t="s">
        <v>2441</v>
      </c>
      <c r="C26" s="37" t="s">
        <v>3430</v>
      </c>
      <c r="D26" s="38" t="s">
        <v>2557</v>
      </c>
      <c r="E26" s="37" t="s">
        <v>2558</v>
      </c>
      <c r="F26" s="37" t="s">
        <v>2559</v>
      </c>
      <c r="G26" s="37" t="s">
        <v>2560</v>
      </c>
      <c r="H26" s="37" t="s">
        <v>2561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174" t="s">
        <v>2562</v>
      </c>
      <c r="B27" s="37" t="s">
        <v>2441</v>
      </c>
      <c r="C27" s="37" t="s">
        <v>3384</v>
      </c>
      <c r="D27" s="38" t="s">
        <v>2563</v>
      </c>
      <c r="E27" s="37" t="s">
        <v>2564</v>
      </c>
      <c r="F27" s="45" t="s">
        <v>2565</v>
      </c>
      <c r="G27" s="37" t="s">
        <v>2566</v>
      </c>
      <c r="H27" s="37" t="s">
        <v>2567</v>
      </c>
      <c r="I27" s="37"/>
      <c r="J27" s="37" t="s">
        <v>412</v>
      </c>
      <c r="K27" s="37" t="s">
        <v>3569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174" t="s">
        <v>2568</v>
      </c>
      <c r="B28" s="37" t="s">
        <v>2441</v>
      </c>
      <c r="C28" s="37" t="s">
        <v>3384</v>
      </c>
      <c r="D28" s="38" t="s">
        <v>2569</v>
      </c>
      <c r="E28" s="37"/>
      <c r="F28" s="37"/>
      <c r="G28" s="37" t="s">
        <v>2570</v>
      </c>
      <c r="H28" s="37" t="s">
        <v>2571</v>
      </c>
      <c r="I28" s="37"/>
      <c r="J28" s="37" t="s">
        <v>412</v>
      </c>
      <c r="K28" s="37"/>
      <c r="L28" s="37">
        <v>50.0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174" t="s">
        <v>2572</v>
      </c>
      <c r="B29" s="37" t="s">
        <v>2441</v>
      </c>
      <c r="C29" s="37" t="s">
        <v>3384</v>
      </c>
      <c r="D29" s="38" t="s">
        <v>2573</v>
      </c>
      <c r="E29" s="37" t="s">
        <v>2574</v>
      </c>
      <c r="F29" s="37" t="s">
        <v>2575</v>
      </c>
      <c r="G29" s="37" t="s">
        <v>2576</v>
      </c>
      <c r="H29" s="37" t="s">
        <v>2577</v>
      </c>
      <c r="I29" s="37"/>
      <c r="J29" s="37" t="s">
        <v>412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174" t="s">
        <v>2578</v>
      </c>
      <c r="B30" s="37" t="s">
        <v>2441</v>
      </c>
      <c r="C30" s="37" t="s">
        <v>3384</v>
      </c>
      <c r="D30" s="38" t="s">
        <v>2579</v>
      </c>
      <c r="E30" s="37" t="s">
        <v>2580</v>
      </c>
      <c r="F30" s="37" t="s">
        <v>2581</v>
      </c>
      <c r="G30" s="37" t="s">
        <v>2582</v>
      </c>
      <c r="H30" s="37" t="s">
        <v>2583</v>
      </c>
      <c r="I30" s="37"/>
      <c r="J30" s="37" t="s">
        <v>412</v>
      </c>
      <c r="K30" s="37"/>
      <c r="L30" s="37">
        <v>30.0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174" t="s">
        <v>2584</v>
      </c>
      <c r="B31" s="37" t="s">
        <v>2441</v>
      </c>
      <c r="C31" s="37" t="s">
        <v>3430</v>
      </c>
      <c r="D31" s="38" t="s">
        <v>2585</v>
      </c>
      <c r="E31" s="37">
        <v>5055707.0</v>
      </c>
      <c r="F31" s="37" t="s">
        <v>2586</v>
      </c>
      <c r="G31" s="37" t="s">
        <v>2587</v>
      </c>
      <c r="H31" s="37" t="s">
        <v>2588</v>
      </c>
      <c r="I31" s="37"/>
      <c r="J31" s="37" t="s">
        <v>3570</v>
      </c>
      <c r="K31" s="37"/>
      <c r="L31" s="37" t="s">
        <v>2589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174" t="s">
        <v>2590</v>
      </c>
      <c r="B32" s="37" t="s">
        <v>2441</v>
      </c>
      <c r="C32" s="37" t="s">
        <v>3458</v>
      </c>
      <c r="D32" s="42"/>
      <c r="E32" s="37" t="s">
        <v>2591</v>
      </c>
      <c r="F32" s="37" t="s">
        <v>2592</v>
      </c>
      <c r="G32" s="37"/>
      <c r="H32" s="37" t="s">
        <v>2593</v>
      </c>
      <c r="I32" s="37"/>
      <c r="J32" s="37" t="s">
        <v>412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174" t="s">
        <v>2594</v>
      </c>
      <c r="B33" s="37" t="s">
        <v>2441</v>
      </c>
      <c r="C33" s="37" t="s">
        <v>3430</v>
      </c>
      <c r="D33" s="38" t="s">
        <v>2595</v>
      </c>
      <c r="E33" s="37" t="s">
        <v>2596</v>
      </c>
      <c r="F33" s="45" t="s">
        <v>2597</v>
      </c>
      <c r="G33" s="37"/>
      <c r="H33" s="37" t="s">
        <v>2598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 t="s">
        <v>412</v>
      </c>
    </row>
    <row r="34">
      <c r="A34" s="136" t="s">
        <v>2599</v>
      </c>
      <c r="B34" s="136" t="s">
        <v>2441</v>
      </c>
      <c r="C34" s="136" t="s">
        <v>3571</v>
      </c>
      <c r="D34" s="135"/>
      <c r="F34" s="182" t="s">
        <v>2600</v>
      </c>
    </row>
    <row r="35">
      <c r="A35" s="136" t="s">
        <v>2601</v>
      </c>
      <c r="B35" s="136" t="s">
        <v>2441</v>
      </c>
      <c r="C35" s="136" t="s">
        <v>3571</v>
      </c>
      <c r="D35" s="135"/>
      <c r="F35" s="182" t="s">
        <v>2528</v>
      </c>
    </row>
    <row r="36">
      <c r="A36" s="136" t="s">
        <v>2602</v>
      </c>
      <c r="B36" s="136" t="s">
        <v>2441</v>
      </c>
      <c r="C36" s="136" t="s">
        <v>3571</v>
      </c>
      <c r="D36" s="135"/>
      <c r="F36" s="182" t="s">
        <v>2603</v>
      </c>
    </row>
    <row r="37">
      <c r="A37" s="136" t="s">
        <v>2604</v>
      </c>
      <c r="B37" s="136" t="s">
        <v>2441</v>
      </c>
      <c r="C37" s="136" t="s">
        <v>3571</v>
      </c>
      <c r="D37" s="135"/>
      <c r="F37" s="182" t="s">
        <v>2532</v>
      </c>
    </row>
    <row r="38">
      <c r="A38" s="136" t="s">
        <v>2605</v>
      </c>
      <c r="B38" s="136" t="s">
        <v>2441</v>
      </c>
      <c r="C38" s="136" t="s">
        <v>3571</v>
      </c>
      <c r="D38" s="135"/>
      <c r="F38" s="182" t="s">
        <v>2606</v>
      </c>
    </row>
    <row r="39">
      <c r="D39" s="135"/>
    </row>
    <row r="40">
      <c r="D40" s="135"/>
    </row>
    <row r="41">
      <c r="D41" s="135"/>
    </row>
    <row r="42">
      <c r="D42" s="135"/>
    </row>
    <row r="43">
      <c r="D43" s="135"/>
    </row>
    <row r="44">
      <c r="D44" s="135"/>
    </row>
    <row r="45">
      <c r="D45" s="135"/>
    </row>
    <row r="46">
      <c r="D46" s="135"/>
    </row>
    <row r="47">
      <c r="D47" s="135"/>
    </row>
    <row r="48">
      <c r="D48" s="135"/>
    </row>
    <row r="49">
      <c r="D49" s="135"/>
    </row>
    <row r="50">
      <c r="D50" s="135"/>
    </row>
    <row r="51">
      <c r="D51" s="135"/>
    </row>
    <row r="52">
      <c r="D52" s="135"/>
    </row>
    <row r="53">
      <c r="D53" s="135"/>
    </row>
    <row r="54">
      <c r="D54" s="135"/>
    </row>
    <row r="55">
      <c r="D55" s="135"/>
    </row>
    <row r="56">
      <c r="D56" s="135"/>
    </row>
    <row r="57">
      <c r="D57" s="135"/>
    </row>
    <row r="58">
      <c r="D58" s="135"/>
    </row>
    <row r="59">
      <c r="D59" s="135"/>
    </row>
    <row r="60">
      <c r="D60" s="135"/>
    </row>
    <row r="61">
      <c r="D61" s="135"/>
    </row>
    <row r="62">
      <c r="D62" s="135"/>
    </row>
    <row r="63">
      <c r="D63" s="135"/>
    </row>
    <row r="64">
      <c r="D64" s="135"/>
    </row>
    <row r="65">
      <c r="D65" s="135"/>
    </row>
    <row r="66">
      <c r="D66" s="135"/>
    </row>
    <row r="67">
      <c r="D67" s="135"/>
    </row>
    <row r="68">
      <c r="D68" s="135"/>
    </row>
    <row r="69">
      <c r="D69" s="135"/>
    </row>
    <row r="70">
      <c r="D70" s="135"/>
    </row>
    <row r="71">
      <c r="D71" s="135"/>
    </row>
    <row r="72">
      <c r="D72" s="135"/>
    </row>
    <row r="73">
      <c r="D73" s="135"/>
    </row>
    <row r="74">
      <c r="D74" s="135"/>
    </row>
    <row r="75">
      <c r="D75" s="135"/>
    </row>
    <row r="76">
      <c r="D76" s="135"/>
    </row>
    <row r="77">
      <c r="D77" s="135"/>
    </row>
    <row r="78">
      <c r="D78" s="135"/>
    </row>
    <row r="79">
      <c r="D79" s="135"/>
    </row>
    <row r="80">
      <c r="D80" s="135"/>
    </row>
    <row r="81">
      <c r="D81" s="135"/>
    </row>
    <row r="82">
      <c r="D82" s="135"/>
    </row>
    <row r="83">
      <c r="D83" s="135"/>
    </row>
    <row r="84">
      <c r="D84" s="135"/>
    </row>
    <row r="85">
      <c r="D85" s="135"/>
    </row>
    <row r="86">
      <c r="D86" s="135"/>
    </row>
    <row r="87">
      <c r="D87" s="135"/>
    </row>
    <row r="88">
      <c r="D88" s="135"/>
    </row>
    <row r="89">
      <c r="D89" s="135"/>
    </row>
    <row r="90">
      <c r="D90" s="135"/>
    </row>
    <row r="91">
      <c r="D91" s="135"/>
    </row>
    <row r="92">
      <c r="D92" s="135"/>
    </row>
    <row r="93">
      <c r="D93" s="135"/>
    </row>
    <row r="94">
      <c r="D94" s="135"/>
    </row>
    <row r="95">
      <c r="D95" s="135"/>
    </row>
    <row r="96">
      <c r="D96" s="135"/>
    </row>
    <row r="97">
      <c r="D97" s="135"/>
    </row>
    <row r="98">
      <c r="D98" s="135"/>
    </row>
    <row r="99">
      <c r="D99" s="135"/>
    </row>
    <row r="100">
      <c r="D100" s="135"/>
    </row>
    <row r="101">
      <c r="D101" s="135"/>
    </row>
    <row r="102">
      <c r="D102" s="135"/>
    </row>
    <row r="103">
      <c r="D103" s="135"/>
    </row>
    <row r="104">
      <c r="D104" s="135"/>
    </row>
    <row r="105">
      <c r="D105" s="135"/>
    </row>
    <row r="106">
      <c r="D106" s="135"/>
    </row>
    <row r="107">
      <c r="D107" s="135"/>
    </row>
    <row r="108">
      <c r="D108" s="135"/>
    </row>
    <row r="109">
      <c r="D109" s="135"/>
    </row>
    <row r="110">
      <c r="D110" s="135"/>
    </row>
    <row r="111">
      <c r="D111" s="135"/>
    </row>
    <row r="112">
      <c r="D112" s="135"/>
    </row>
    <row r="113">
      <c r="D113" s="135"/>
    </row>
    <row r="114">
      <c r="D114" s="135"/>
    </row>
    <row r="115">
      <c r="D115" s="135"/>
    </row>
    <row r="116">
      <c r="D116" s="135"/>
    </row>
    <row r="117">
      <c r="D117" s="135"/>
    </row>
    <row r="118">
      <c r="D118" s="135"/>
    </row>
    <row r="119">
      <c r="D119" s="135"/>
    </row>
    <row r="120">
      <c r="D120" s="135"/>
    </row>
    <row r="121">
      <c r="D121" s="135"/>
    </row>
    <row r="122">
      <c r="D122" s="135"/>
    </row>
    <row r="123">
      <c r="D123" s="135"/>
    </row>
    <row r="124">
      <c r="D124" s="135"/>
    </row>
    <row r="125">
      <c r="D125" s="135"/>
    </row>
    <row r="126">
      <c r="D126" s="135"/>
    </row>
    <row r="127">
      <c r="D127" s="135"/>
    </row>
    <row r="128">
      <c r="D128" s="135"/>
    </row>
    <row r="129">
      <c r="D129" s="135"/>
    </row>
    <row r="130">
      <c r="D130" s="135"/>
    </row>
    <row r="131">
      <c r="D131" s="135"/>
    </row>
    <row r="132">
      <c r="D132" s="135"/>
    </row>
    <row r="133">
      <c r="D133" s="135"/>
    </row>
    <row r="134">
      <c r="D134" s="135"/>
    </row>
    <row r="135">
      <c r="D135" s="135"/>
    </row>
    <row r="136">
      <c r="D136" s="135"/>
    </row>
    <row r="137">
      <c r="D137" s="135"/>
    </row>
    <row r="138">
      <c r="D138" s="135"/>
    </row>
    <row r="139">
      <c r="D139" s="135"/>
    </row>
    <row r="140">
      <c r="D140" s="135"/>
    </row>
    <row r="141">
      <c r="D141" s="135"/>
    </row>
    <row r="142">
      <c r="D142" s="135"/>
    </row>
    <row r="143">
      <c r="D143" s="135"/>
    </row>
    <row r="144">
      <c r="D144" s="135"/>
    </row>
    <row r="145">
      <c r="D145" s="135"/>
    </row>
    <row r="146">
      <c r="D146" s="135"/>
    </row>
    <row r="147">
      <c r="D147" s="135"/>
    </row>
    <row r="148">
      <c r="D148" s="135"/>
    </row>
    <row r="149">
      <c r="D149" s="135"/>
    </row>
    <row r="150">
      <c r="D150" s="135"/>
    </row>
    <row r="151">
      <c r="D151" s="135"/>
    </row>
    <row r="152">
      <c r="D152" s="135"/>
    </row>
    <row r="153">
      <c r="D153" s="135"/>
    </row>
    <row r="154">
      <c r="D154" s="135"/>
    </row>
    <row r="155">
      <c r="D155" s="135"/>
    </row>
    <row r="156">
      <c r="D156" s="135"/>
    </row>
    <row r="157">
      <c r="D157" s="135"/>
    </row>
    <row r="158">
      <c r="D158" s="135"/>
    </row>
    <row r="159">
      <c r="D159" s="135"/>
    </row>
    <row r="160">
      <c r="D160" s="135"/>
    </row>
    <row r="161">
      <c r="D161" s="135"/>
    </row>
    <row r="162">
      <c r="D162" s="135"/>
    </row>
    <row r="163">
      <c r="D163" s="135"/>
    </row>
    <row r="164">
      <c r="D164" s="135"/>
    </row>
    <row r="165">
      <c r="D165" s="135"/>
    </row>
    <row r="166">
      <c r="D166" s="135"/>
    </row>
    <row r="167">
      <c r="D167" s="135"/>
    </row>
    <row r="168">
      <c r="D168" s="135"/>
    </row>
    <row r="169">
      <c r="D169" s="135"/>
    </row>
    <row r="170">
      <c r="D170" s="135"/>
    </row>
    <row r="171">
      <c r="D171" s="135"/>
    </row>
    <row r="172">
      <c r="D172" s="135"/>
    </row>
    <row r="173">
      <c r="D173" s="135"/>
    </row>
    <row r="174">
      <c r="D174" s="135"/>
    </row>
    <row r="175">
      <c r="D175" s="135"/>
    </row>
    <row r="176">
      <c r="D176" s="135"/>
    </row>
    <row r="177">
      <c r="D177" s="135"/>
    </row>
    <row r="178">
      <c r="D178" s="135"/>
    </row>
    <row r="179">
      <c r="D179" s="135"/>
    </row>
    <row r="180">
      <c r="D180" s="135"/>
    </row>
    <row r="181">
      <c r="D181" s="135"/>
    </row>
    <row r="182">
      <c r="D182" s="135"/>
    </row>
    <row r="183">
      <c r="D183" s="135"/>
    </row>
    <row r="184">
      <c r="D184" s="135"/>
    </row>
    <row r="185">
      <c r="D185" s="135"/>
    </row>
    <row r="186">
      <c r="D186" s="135"/>
    </row>
    <row r="187">
      <c r="D187" s="135"/>
    </row>
    <row r="188">
      <c r="D188" s="135"/>
    </row>
    <row r="189">
      <c r="D189" s="135"/>
    </row>
    <row r="190">
      <c r="D190" s="135"/>
    </row>
    <row r="191">
      <c r="D191" s="135"/>
    </row>
    <row r="192">
      <c r="D192" s="135"/>
    </row>
    <row r="193">
      <c r="D193" s="135"/>
    </row>
    <row r="194">
      <c r="D194" s="135"/>
    </row>
    <row r="195">
      <c r="D195" s="135"/>
    </row>
    <row r="196">
      <c r="D196" s="135"/>
    </row>
    <row r="197">
      <c r="D197" s="135"/>
    </row>
    <row r="198">
      <c r="D198" s="135"/>
    </row>
    <row r="199">
      <c r="D199" s="135"/>
    </row>
    <row r="200">
      <c r="D200" s="135"/>
    </row>
    <row r="201">
      <c r="D201" s="135"/>
    </row>
    <row r="202">
      <c r="D202" s="135"/>
    </row>
    <row r="203">
      <c r="D203" s="135"/>
    </row>
    <row r="204">
      <c r="D204" s="135"/>
    </row>
    <row r="205">
      <c r="D205" s="135"/>
    </row>
    <row r="206">
      <c r="D206" s="135"/>
    </row>
    <row r="207">
      <c r="D207" s="135"/>
    </row>
    <row r="208">
      <c r="D208" s="135"/>
    </row>
    <row r="209">
      <c r="D209" s="135"/>
    </row>
    <row r="210">
      <c r="D210" s="135"/>
    </row>
    <row r="211">
      <c r="D211" s="135"/>
    </row>
    <row r="212">
      <c r="D212" s="135"/>
    </row>
    <row r="213">
      <c r="D213" s="135"/>
    </row>
    <row r="214">
      <c r="D214" s="135"/>
    </row>
    <row r="215">
      <c r="D215" s="135"/>
    </row>
    <row r="216">
      <c r="D216" s="135"/>
    </row>
    <row r="217">
      <c r="D217" s="135"/>
    </row>
    <row r="218">
      <c r="D218" s="135"/>
    </row>
    <row r="219">
      <c r="D219" s="135"/>
    </row>
    <row r="220">
      <c r="D220" s="135"/>
    </row>
    <row r="221">
      <c r="D221" s="135"/>
    </row>
    <row r="222">
      <c r="D222" s="135"/>
    </row>
    <row r="223">
      <c r="D223" s="135"/>
    </row>
    <row r="224">
      <c r="D224" s="135"/>
    </row>
    <row r="225">
      <c r="D225" s="135"/>
    </row>
    <row r="226">
      <c r="D226" s="135"/>
    </row>
    <row r="227">
      <c r="D227" s="135"/>
    </row>
    <row r="228">
      <c r="D228" s="135"/>
    </row>
    <row r="229">
      <c r="D229" s="135"/>
    </row>
    <row r="230">
      <c r="D230" s="135"/>
    </row>
    <row r="231">
      <c r="D231" s="135"/>
    </row>
    <row r="232">
      <c r="D232" s="135"/>
    </row>
    <row r="233">
      <c r="D233" s="135"/>
    </row>
    <row r="234">
      <c r="D234" s="135"/>
    </row>
    <row r="235">
      <c r="D235" s="135"/>
    </row>
    <row r="236">
      <c r="D236" s="135"/>
    </row>
    <row r="237">
      <c r="D237" s="135"/>
    </row>
    <row r="238">
      <c r="D238" s="135"/>
    </row>
    <row r="239">
      <c r="D239" s="135"/>
    </row>
    <row r="240">
      <c r="D240" s="135"/>
    </row>
    <row r="241">
      <c r="D241" s="135"/>
    </row>
    <row r="242">
      <c r="D242" s="135"/>
    </row>
    <row r="243">
      <c r="D243" s="135"/>
    </row>
    <row r="244">
      <c r="D244" s="135"/>
    </row>
    <row r="245">
      <c r="D245" s="135"/>
    </row>
    <row r="246">
      <c r="D246" s="135"/>
    </row>
    <row r="247">
      <c r="D247" s="135"/>
    </row>
    <row r="248">
      <c r="D248" s="135"/>
    </row>
    <row r="249">
      <c r="D249" s="135"/>
    </row>
    <row r="250">
      <c r="D250" s="135"/>
    </row>
    <row r="251">
      <c r="D251" s="135"/>
    </row>
    <row r="252">
      <c r="D252" s="135"/>
    </row>
    <row r="253">
      <c r="D253" s="135"/>
    </row>
    <row r="254">
      <c r="D254" s="135"/>
    </row>
    <row r="255">
      <c r="D255" s="135"/>
    </row>
    <row r="256">
      <c r="D256" s="135"/>
    </row>
    <row r="257">
      <c r="D257" s="135"/>
    </row>
    <row r="258">
      <c r="D258" s="135"/>
    </row>
    <row r="259">
      <c r="D259" s="135"/>
    </row>
    <row r="260">
      <c r="D260" s="135"/>
    </row>
    <row r="261">
      <c r="D261" s="135"/>
    </row>
    <row r="262">
      <c r="D262" s="135"/>
    </row>
    <row r="263">
      <c r="D263" s="135"/>
    </row>
    <row r="264">
      <c r="D264" s="135"/>
    </row>
    <row r="265">
      <c r="D265" s="135"/>
    </row>
    <row r="266">
      <c r="D266" s="135"/>
    </row>
    <row r="267">
      <c r="D267" s="135"/>
    </row>
    <row r="268">
      <c r="D268" s="135"/>
    </row>
    <row r="269">
      <c r="D269" s="135"/>
    </row>
    <row r="270">
      <c r="D270" s="135"/>
    </row>
    <row r="271">
      <c r="D271" s="135"/>
    </row>
    <row r="272">
      <c r="D272" s="135"/>
    </row>
    <row r="273">
      <c r="D273" s="135"/>
    </row>
    <row r="274">
      <c r="D274" s="135"/>
    </row>
    <row r="275">
      <c r="D275" s="135"/>
    </row>
    <row r="276">
      <c r="D276" s="135"/>
    </row>
    <row r="277">
      <c r="D277" s="135"/>
    </row>
    <row r="278">
      <c r="D278" s="135"/>
    </row>
    <row r="279">
      <c r="D279" s="135"/>
    </row>
    <row r="280">
      <c r="D280" s="135"/>
    </row>
    <row r="281">
      <c r="D281" s="135"/>
    </row>
    <row r="282">
      <c r="D282" s="135"/>
    </row>
    <row r="283">
      <c r="D283" s="135"/>
    </row>
    <row r="284">
      <c r="D284" s="135"/>
    </row>
    <row r="285">
      <c r="D285" s="135"/>
    </row>
    <row r="286">
      <c r="D286" s="135"/>
    </row>
    <row r="287">
      <c r="D287" s="135"/>
    </row>
    <row r="288">
      <c r="D288" s="135"/>
    </row>
    <row r="289">
      <c r="D289" s="135"/>
    </row>
    <row r="290">
      <c r="D290" s="135"/>
    </row>
    <row r="291">
      <c r="D291" s="135"/>
    </row>
    <row r="292">
      <c r="D292" s="135"/>
    </row>
    <row r="293">
      <c r="D293" s="135"/>
    </row>
    <row r="294">
      <c r="D294" s="135"/>
    </row>
    <row r="295">
      <c r="D295" s="135"/>
    </row>
    <row r="296">
      <c r="D296" s="135"/>
    </row>
    <row r="297">
      <c r="D297" s="135"/>
    </row>
    <row r="298">
      <c r="D298" s="135"/>
    </row>
    <row r="299">
      <c r="D299" s="135"/>
    </row>
    <row r="300">
      <c r="D300" s="135"/>
    </row>
    <row r="301">
      <c r="D301" s="135"/>
    </row>
    <row r="302">
      <c r="D302" s="135"/>
    </row>
    <row r="303">
      <c r="D303" s="135"/>
    </row>
    <row r="304">
      <c r="D304" s="135"/>
    </row>
    <row r="305">
      <c r="D305" s="135"/>
    </row>
    <row r="306">
      <c r="D306" s="135"/>
    </row>
    <row r="307">
      <c r="D307" s="135"/>
    </row>
    <row r="308">
      <c r="D308" s="135"/>
    </row>
    <row r="309">
      <c r="D309" s="135"/>
    </row>
    <row r="310">
      <c r="D310" s="135"/>
    </row>
    <row r="311">
      <c r="D311" s="135"/>
    </row>
    <row r="312">
      <c r="D312" s="135"/>
    </row>
    <row r="313">
      <c r="D313" s="135"/>
    </row>
    <row r="314">
      <c r="D314" s="135"/>
    </row>
    <row r="315">
      <c r="D315" s="135"/>
    </row>
    <row r="316">
      <c r="D316" s="135"/>
    </row>
    <row r="317">
      <c r="D317" s="135"/>
    </row>
    <row r="318">
      <c r="D318" s="135"/>
    </row>
    <row r="319">
      <c r="D319" s="135"/>
    </row>
    <row r="320">
      <c r="D320" s="135"/>
    </row>
    <row r="321">
      <c r="D321" s="135"/>
    </row>
    <row r="322">
      <c r="D322" s="135"/>
    </row>
    <row r="323">
      <c r="D323" s="135"/>
    </row>
    <row r="324">
      <c r="D324" s="135"/>
    </row>
    <row r="325">
      <c r="D325" s="135"/>
    </row>
    <row r="326">
      <c r="D326" s="135"/>
    </row>
    <row r="327">
      <c r="D327" s="135"/>
    </row>
    <row r="328">
      <c r="D328" s="135"/>
    </row>
    <row r="329">
      <c r="D329" s="135"/>
    </row>
    <row r="330">
      <c r="D330" s="135"/>
    </row>
    <row r="331">
      <c r="D331" s="135"/>
    </row>
    <row r="332">
      <c r="D332" s="135"/>
    </row>
    <row r="333">
      <c r="D333" s="135"/>
    </row>
    <row r="334">
      <c r="D334" s="135"/>
    </row>
    <row r="335">
      <c r="D335" s="135"/>
    </row>
    <row r="336">
      <c r="D336" s="135"/>
    </row>
    <row r="337">
      <c r="D337" s="135"/>
    </row>
    <row r="338">
      <c r="D338" s="135"/>
    </row>
    <row r="339">
      <c r="D339" s="135"/>
    </row>
    <row r="340">
      <c r="D340" s="135"/>
    </row>
    <row r="341">
      <c r="D341" s="135"/>
    </row>
    <row r="342">
      <c r="D342" s="135"/>
    </row>
    <row r="343">
      <c r="D343" s="135"/>
    </row>
    <row r="344">
      <c r="D344" s="135"/>
    </row>
    <row r="345">
      <c r="D345" s="135"/>
    </row>
    <row r="346">
      <c r="D346" s="135"/>
    </row>
    <row r="347">
      <c r="D347" s="135"/>
    </row>
    <row r="348">
      <c r="D348" s="135"/>
    </row>
    <row r="349">
      <c r="D349" s="135"/>
    </row>
    <row r="350">
      <c r="D350" s="135"/>
    </row>
    <row r="351">
      <c r="D351" s="135"/>
    </row>
    <row r="352">
      <c r="D352" s="135"/>
    </row>
    <row r="353">
      <c r="D353" s="135"/>
    </row>
    <row r="354">
      <c r="D354" s="135"/>
    </row>
    <row r="355">
      <c r="D355" s="135"/>
    </row>
    <row r="356">
      <c r="D356" s="135"/>
    </row>
    <row r="357">
      <c r="D357" s="135"/>
    </row>
    <row r="358">
      <c r="D358" s="135"/>
    </row>
    <row r="359">
      <c r="D359" s="135"/>
    </row>
    <row r="360">
      <c r="D360" s="135"/>
    </row>
    <row r="361">
      <c r="D361" s="135"/>
    </row>
    <row r="362">
      <c r="D362" s="135"/>
    </row>
    <row r="363">
      <c r="D363" s="135"/>
    </row>
    <row r="364">
      <c r="D364" s="135"/>
    </row>
    <row r="365">
      <c r="D365" s="135"/>
    </row>
    <row r="366">
      <c r="D366" s="135"/>
    </row>
    <row r="367">
      <c r="D367" s="135"/>
    </row>
    <row r="368">
      <c r="D368" s="135"/>
    </row>
    <row r="369">
      <c r="D369" s="135"/>
    </row>
    <row r="370">
      <c r="D370" s="135"/>
    </row>
    <row r="371">
      <c r="D371" s="135"/>
    </row>
    <row r="372">
      <c r="D372" s="135"/>
    </row>
    <row r="373">
      <c r="D373" s="135"/>
    </row>
    <row r="374">
      <c r="D374" s="135"/>
    </row>
    <row r="375">
      <c r="D375" s="135"/>
    </row>
    <row r="376">
      <c r="D376" s="135"/>
    </row>
    <row r="377">
      <c r="D377" s="135"/>
    </row>
    <row r="378">
      <c r="D378" s="135"/>
    </row>
    <row r="379">
      <c r="D379" s="135"/>
    </row>
    <row r="380">
      <c r="D380" s="135"/>
    </row>
    <row r="381">
      <c r="D381" s="135"/>
    </row>
    <row r="382">
      <c r="D382" s="135"/>
    </row>
    <row r="383">
      <c r="D383" s="135"/>
    </row>
    <row r="384">
      <c r="D384" s="135"/>
    </row>
    <row r="385">
      <c r="D385" s="135"/>
    </row>
    <row r="386">
      <c r="D386" s="135"/>
    </row>
    <row r="387">
      <c r="D387" s="135"/>
    </row>
    <row r="388">
      <c r="D388" s="135"/>
    </row>
    <row r="389">
      <c r="D389" s="135"/>
    </row>
    <row r="390">
      <c r="D390" s="135"/>
    </row>
    <row r="391">
      <c r="D391" s="135"/>
    </row>
    <row r="392">
      <c r="D392" s="135"/>
    </row>
    <row r="393">
      <c r="D393" s="135"/>
    </row>
    <row r="394">
      <c r="D394" s="135"/>
    </row>
    <row r="395">
      <c r="D395" s="135"/>
    </row>
    <row r="396">
      <c r="D396" s="135"/>
    </row>
    <row r="397">
      <c r="D397" s="135"/>
    </row>
    <row r="398">
      <c r="D398" s="135"/>
    </row>
    <row r="399">
      <c r="D399" s="135"/>
    </row>
    <row r="400">
      <c r="D400" s="135"/>
    </row>
    <row r="401">
      <c r="D401" s="135"/>
    </row>
    <row r="402">
      <c r="D402" s="135"/>
    </row>
    <row r="403">
      <c r="D403" s="135"/>
    </row>
    <row r="404">
      <c r="D404" s="135"/>
    </row>
    <row r="405">
      <c r="D405" s="135"/>
    </row>
    <row r="406">
      <c r="D406" s="135"/>
    </row>
    <row r="407">
      <c r="D407" s="135"/>
    </row>
    <row r="408">
      <c r="D408" s="135"/>
    </row>
    <row r="409">
      <c r="D409" s="135"/>
    </row>
    <row r="410">
      <c r="D410" s="135"/>
    </row>
    <row r="411">
      <c r="D411" s="135"/>
    </row>
    <row r="412">
      <c r="D412" s="135"/>
    </row>
    <row r="413">
      <c r="D413" s="135"/>
    </row>
    <row r="414">
      <c r="D414" s="135"/>
    </row>
    <row r="415">
      <c r="D415" s="135"/>
    </row>
    <row r="416">
      <c r="D416" s="135"/>
    </row>
    <row r="417">
      <c r="D417" s="135"/>
    </row>
    <row r="418">
      <c r="D418" s="135"/>
    </row>
    <row r="419">
      <c r="D419" s="135"/>
    </row>
    <row r="420">
      <c r="D420" s="135"/>
    </row>
    <row r="421">
      <c r="D421" s="135"/>
    </row>
    <row r="422">
      <c r="D422" s="135"/>
    </row>
    <row r="423">
      <c r="D423" s="135"/>
    </row>
    <row r="424">
      <c r="D424" s="135"/>
    </row>
    <row r="425">
      <c r="D425" s="135"/>
    </row>
    <row r="426">
      <c r="D426" s="135"/>
    </row>
    <row r="427">
      <c r="D427" s="135"/>
    </row>
    <row r="428">
      <c r="D428" s="135"/>
    </row>
    <row r="429">
      <c r="D429" s="135"/>
    </row>
    <row r="430">
      <c r="D430" s="135"/>
    </row>
    <row r="431">
      <c r="D431" s="135"/>
    </row>
    <row r="432">
      <c r="D432" s="135"/>
    </row>
    <row r="433">
      <c r="D433" s="135"/>
    </row>
    <row r="434">
      <c r="D434" s="135"/>
    </row>
    <row r="435">
      <c r="D435" s="135"/>
    </row>
    <row r="436">
      <c r="D436" s="135"/>
    </row>
    <row r="437">
      <c r="D437" s="135"/>
    </row>
    <row r="438">
      <c r="D438" s="135"/>
    </row>
    <row r="439">
      <c r="D439" s="135"/>
    </row>
    <row r="440">
      <c r="D440" s="135"/>
    </row>
    <row r="441">
      <c r="D441" s="135"/>
    </row>
    <row r="442">
      <c r="D442" s="135"/>
    </row>
    <row r="443">
      <c r="D443" s="135"/>
    </row>
    <row r="444">
      <c r="D444" s="135"/>
    </row>
    <row r="445">
      <c r="D445" s="135"/>
    </row>
    <row r="446">
      <c r="D446" s="135"/>
    </row>
    <row r="447">
      <c r="D447" s="135"/>
    </row>
    <row r="448">
      <c r="D448" s="135"/>
    </row>
    <row r="449">
      <c r="D449" s="135"/>
    </row>
    <row r="450">
      <c r="D450" s="135"/>
    </row>
    <row r="451">
      <c r="D451" s="135"/>
    </row>
    <row r="452">
      <c r="D452" s="135"/>
    </row>
    <row r="453">
      <c r="D453" s="135"/>
    </row>
    <row r="454">
      <c r="D454" s="135"/>
    </row>
    <row r="455">
      <c r="D455" s="135"/>
    </row>
    <row r="456">
      <c r="D456" s="135"/>
    </row>
    <row r="457">
      <c r="D457" s="135"/>
    </row>
    <row r="458">
      <c r="D458" s="135"/>
    </row>
    <row r="459">
      <c r="D459" s="135"/>
    </row>
    <row r="460">
      <c r="D460" s="135"/>
    </row>
    <row r="461">
      <c r="D461" s="135"/>
    </row>
    <row r="462">
      <c r="D462" s="135"/>
    </row>
    <row r="463">
      <c r="D463" s="135"/>
    </row>
    <row r="464">
      <c r="D464" s="135"/>
    </row>
    <row r="465">
      <c r="D465" s="135"/>
    </row>
    <row r="466">
      <c r="D466" s="135"/>
    </row>
    <row r="467">
      <c r="D467" s="135"/>
    </row>
    <row r="468">
      <c r="D468" s="135"/>
    </row>
    <row r="469">
      <c r="D469" s="135"/>
    </row>
    <row r="470">
      <c r="D470" s="135"/>
    </row>
    <row r="471">
      <c r="D471" s="135"/>
    </row>
    <row r="472">
      <c r="D472" s="135"/>
    </row>
    <row r="473">
      <c r="D473" s="135"/>
    </row>
    <row r="474">
      <c r="D474" s="135"/>
    </row>
    <row r="475">
      <c r="D475" s="135"/>
    </row>
    <row r="476">
      <c r="D476" s="135"/>
    </row>
    <row r="477">
      <c r="D477" s="135"/>
    </row>
    <row r="478">
      <c r="D478" s="135"/>
    </row>
    <row r="479">
      <c r="D479" s="135"/>
    </row>
    <row r="480">
      <c r="D480" s="135"/>
    </row>
    <row r="481">
      <c r="D481" s="135"/>
    </row>
    <row r="482">
      <c r="D482" s="135"/>
    </row>
    <row r="483">
      <c r="D483" s="135"/>
    </row>
    <row r="484">
      <c r="D484" s="135"/>
    </row>
    <row r="485">
      <c r="D485" s="135"/>
    </row>
    <row r="486">
      <c r="D486" s="135"/>
    </row>
    <row r="487">
      <c r="D487" s="135"/>
    </row>
    <row r="488">
      <c r="D488" s="135"/>
    </row>
    <row r="489">
      <c r="D489" s="135"/>
    </row>
    <row r="490">
      <c r="D490" s="135"/>
    </row>
    <row r="491">
      <c r="D491" s="135"/>
    </row>
    <row r="492">
      <c r="D492" s="135"/>
    </row>
    <row r="493">
      <c r="D493" s="135"/>
    </row>
    <row r="494">
      <c r="D494" s="135"/>
    </row>
    <row r="495">
      <c r="D495" s="135"/>
    </row>
    <row r="496">
      <c r="D496" s="135"/>
    </row>
    <row r="497">
      <c r="D497" s="135"/>
    </row>
    <row r="498">
      <c r="D498" s="135"/>
    </row>
    <row r="499">
      <c r="D499" s="135"/>
    </row>
    <row r="500">
      <c r="D500" s="135"/>
    </row>
    <row r="501">
      <c r="D501" s="135"/>
    </row>
    <row r="502">
      <c r="D502" s="135"/>
    </row>
    <row r="503">
      <c r="D503" s="135"/>
    </row>
    <row r="504">
      <c r="D504" s="135"/>
    </row>
    <row r="505">
      <c r="D505" s="135"/>
    </row>
    <row r="506">
      <c r="D506" s="135"/>
    </row>
    <row r="507">
      <c r="D507" s="135"/>
    </row>
    <row r="508">
      <c r="D508" s="135"/>
    </row>
    <row r="509">
      <c r="D509" s="135"/>
    </row>
    <row r="510">
      <c r="D510" s="135"/>
    </row>
    <row r="511">
      <c r="D511" s="135"/>
    </row>
    <row r="512">
      <c r="D512" s="135"/>
    </row>
    <row r="513">
      <c r="D513" s="135"/>
    </row>
    <row r="514">
      <c r="D514" s="135"/>
    </row>
    <row r="515">
      <c r="D515" s="135"/>
    </row>
    <row r="516">
      <c r="D516" s="135"/>
    </row>
    <row r="517">
      <c r="D517" s="135"/>
    </row>
    <row r="518">
      <c r="D518" s="135"/>
    </row>
    <row r="519">
      <c r="D519" s="135"/>
    </row>
    <row r="520">
      <c r="D520" s="135"/>
    </row>
    <row r="521">
      <c r="D521" s="135"/>
    </row>
    <row r="522">
      <c r="D522" s="135"/>
    </row>
    <row r="523">
      <c r="D523" s="135"/>
    </row>
    <row r="524">
      <c r="D524" s="135"/>
    </row>
    <row r="525">
      <c r="D525" s="135"/>
    </row>
    <row r="526">
      <c r="D526" s="135"/>
    </row>
    <row r="527">
      <c r="D527" s="135"/>
    </row>
    <row r="528">
      <c r="D528" s="135"/>
    </row>
    <row r="529">
      <c r="D529" s="135"/>
    </row>
    <row r="530">
      <c r="D530" s="135"/>
    </row>
    <row r="531">
      <c r="D531" s="135"/>
    </row>
    <row r="532">
      <c r="D532" s="135"/>
    </row>
    <row r="533">
      <c r="D533" s="135"/>
    </row>
    <row r="534">
      <c r="D534" s="135"/>
    </row>
    <row r="535">
      <c r="D535" s="135"/>
    </row>
    <row r="536">
      <c r="D536" s="135"/>
    </row>
    <row r="537">
      <c r="D537" s="135"/>
    </row>
    <row r="538">
      <c r="D538" s="135"/>
    </row>
    <row r="539">
      <c r="D539" s="135"/>
    </row>
    <row r="540">
      <c r="D540" s="135"/>
    </row>
    <row r="541">
      <c r="D541" s="135"/>
    </row>
    <row r="542">
      <c r="D542" s="135"/>
    </row>
    <row r="543">
      <c r="D543" s="135"/>
    </row>
    <row r="544">
      <c r="D544" s="135"/>
    </row>
    <row r="545">
      <c r="D545" s="135"/>
    </row>
    <row r="546">
      <c r="D546" s="135"/>
    </row>
    <row r="547">
      <c r="D547" s="135"/>
    </row>
    <row r="548">
      <c r="D548" s="135"/>
    </row>
    <row r="549">
      <c r="D549" s="135"/>
    </row>
    <row r="550">
      <c r="D550" s="135"/>
    </row>
    <row r="551">
      <c r="D551" s="135"/>
    </row>
    <row r="552">
      <c r="D552" s="135"/>
    </row>
    <row r="553">
      <c r="D553" s="135"/>
    </row>
    <row r="554">
      <c r="D554" s="135"/>
    </row>
    <row r="555">
      <c r="D555" s="135"/>
    </row>
    <row r="556">
      <c r="D556" s="135"/>
    </row>
    <row r="557">
      <c r="D557" s="135"/>
    </row>
    <row r="558">
      <c r="D558" s="135"/>
    </row>
    <row r="559">
      <c r="D559" s="135"/>
    </row>
    <row r="560">
      <c r="D560" s="135"/>
    </row>
    <row r="561">
      <c r="D561" s="135"/>
    </row>
    <row r="562">
      <c r="D562" s="135"/>
    </row>
    <row r="563">
      <c r="D563" s="135"/>
    </row>
    <row r="564">
      <c r="D564" s="135"/>
    </row>
    <row r="565">
      <c r="D565" s="135"/>
    </row>
    <row r="566">
      <c r="D566" s="135"/>
    </row>
    <row r="567">
      <c r="D567" s="135"/>
    </row>
    <row r="568">
      <c r="D568" s="135"/>
    </row>
    <row r="569">
      <c r="D569" s="135"/>
    </row>
    <row r="570">
      <c r="D570" s="135"/>
    </row>
    <row r="571">
      <c r="D571" s="135"/>
    </row>
    <row r="572">
      <c r="D572" s="135"/>
    </row>
    <row r="573">
      <c r="D573" s="135"/>
    </row>
    <row r="574">
      <c r="D574" s="135"/>
    </row>
    <row r="575">
      <c r="D575" s="135"/>
    </row>
    <row r="576">
      <c r="D576" s="135"/>
    </row>
    <row r="577">
      <c r="D577" s="135"/>
    </row>
    <row r="578">
      <c r="D578" s="135"/>
    </row>
    <row r="579">
      <c r="D579" s="135"/>
    </row>
    <row r="580">
      <c r="D580" s="135"/>
    </row>
    <row r="581">
      <c r="D581" s="135"/>
    </row>
    <row r="582">
      <c r="D582" s="135"/>
    </row>
    <row r="583">
      <c r="D583" s="135"/>
    </row>
    <row r="584">
      <c r="D584" s="135"/>
    </row>
    <row r="585">
      <c r="D585" s="135"/>
    </row>
    <row r="586">
      <c r="D586" s="135"/>
    </row>
    <row r="587">
      <c r="D587" s="135"/>
    </row>
    <row r="588">
      <c r="D588" s="135"/>
    </row>
    <row r="589">
      <c r="D589" s="135"/>
    </row>
    <row r="590">
      <c r="D590" s="135"/>
    </row>
    <row r="591">
      <c r="D591" s="135"/>
    </row>
    <row r="592">
      <c r="D592" s="135"/>
    </row>
    <row r="593">
      <c r="D593" s="135"/>
    </row>
    <row r="594">
      <c r="D594" s="135"/>
    </row>
    <row r="595">
      <c r="D595" s="135"/>
    </row>
    <row r="596">
      <c r="D596" s="135"/>
    </row>
    <row r="597">
      <c r="D597" s="135"/>
    </row>
    <row r="598">
      <c r="D598" s="135"/>
    </row>
    <row r="599">
      <c r="D599" s="135"/>
    </row>
    <row r="600">
      <c r="D600" s="135"/>
    </row>
    <row r="601">
      <c r="D601" s="135"/>
    </row>
    <row r="602">
      <c r="D602" s="135"/>
    </row>
    <row r="603">
      <c r="D603" s="135"/>
    </row>
    <row r="604">
      <c r="D604" s="135"/>
    </row>
    <row r="605">
      <c r="D605" s="135"/>
    </row>
    <row r="606">
      <c r="D606" s="135"/>
    </row>
    <row r="607">
      <c r="D607" s="135"/>
    </row>
    <row r="608">
      <c r="D608" s="135"/>
    </row>
    <row r="609">
      <c r="D609" s="135"/>
    </row>
    <row r="610">
      <c r="D610" s="135"/>
    </row>
    <row r="611">
      <c r="D611" s="135"/>
    </row>
    <row r="612">
      <c r="D612" s="135"/>
    </row>
    <row r="613">
      <c r="D613" s="135"/>
    </row>
    <row r="614">
      <c r="D614" s="135"/>
    </row>
    <row r="615">
      <c r="D615" s="135"/>
    </row>
    <row r="616">
      <c r="D616" s="135"/>
    </row>
    <row r="617">
      <c r="D617" s="135"/>
    </row>
    <row r="618">
      <c r="D618" s="135"/>
    </row>
    <row r="619">
      <c r="D619" s="135"/>
    </row>
    <row r="620">
      <c r="D620" s="135"/>
    </row>
    <row r="621">
      <c r="D621" s="135"/>
    </row>
    <row r="622">
      <c r="D622" s="135"/>
    </row>
    <row r="623">
      <c r="D623" s="135"/>
    </row>
    <row r="624">
      <c r="D624" s="135"/>
    </row>
    <row r="625">
      <c r="D625" s="135"/>
    </row>
    <row r="626">
      <c r="D626" s="135"/>
    </row>
    <row r="627">
      <c r="D627" s="135"/>
    </row>
    <row r="628">
      <c r="D628" s="135"/>
    </row>
    <row r="629">
      <c r="D629" s="135"/>
    </row>
    <row r="630">
      <c r="D630" s="135"/>
    </row>
    <row r="631">
      <c r="D631" s="135"/>
    </row>
    <row r="632">
      <c r="D632" s="135"/>
    </row>
    <row r="633">
      <c r="D633" s="135"/>
    </row>
    <row r="634">
      <c r="D634" s="135"/>
    </row>
    <row r="635">
      <c r="D635" s="135"/>
    </row>
    <row r="636">
      <c r="D636" s="135"/>
    </row>
    <row r="637">
      <c r="D637" s="135"/>
    </row>
    <row r="638">
      <c r="D638" s="135"/>
    </row>
    <row r="639">
      <c r="D639" s="135"/>
    </row>
    <row r="640">
      <c r="D640" s="135"/>
    </row>
    <row r="641">
      <c r="D641" s="135"/>
    </row>
    <row r="642">
      <c r="D642" s="135"/>
    </row>
    <row r="643">
      <c r="D643" s="135"/>
    </row>
    <row r="644">
      <c r="D644" s="135"/>
    </row>
    <row r="645">
      <c r="D645" s="135"/>
    </row>
    <row r="646">
      <c r="D646" s="135"/>
    </row>
    <row r="647">
      <c r="D647" s="135"/>
    </row>
    <row r="648">
      <c r="D648" s="135"/>
    </row>
    <row r="649">
      <c r="D649" s="135"/>
    </row>
    <row r="650">
      <c r="D650" s="135"/>
    </row>
    <row r="651">
      <c r="D651" s="135"/>
    </row>
    <row r="652">
      <c r="D652" s="135"/>
    </row>
    <row r="653">
      <c r="D653" s="135"/>
    </row>
    <row r="654">
      <c r="D654" s="135"/>
    </row>
    <row r="655">
      <c r="D655" s="135"/>
    </row>
    <row r="656">
      <c r="D656" s="135"/>
    </row>
    <row r="657">
      <c r="D657" s="135"/>
    </row>
    <row r="658">
      <c r="D658" s="135"/>
    </row>
    <row r="659">
      <c r="D659" s="135"/>
    </row>
    <row r="660">
      <c r="D660" s="135"/>
    </row>
    <row r="661">
      <c r="D661" s="135"/>
    </row>
    <row r="662">
      <c r="D662" s="135"/>
    </row>
    <row r="663">
      <c r="D663" s="135"/>
    </row>
    <row r="664">
      <c r="D664" s="135"/>
    </row>
    <row r="665">
      <c r="D665" s="135"/>
    </row>
    <row r="666">
      <c r="D666" s="135"/>
    </row>
    <row r="667">
      <c r="D667" s="135"/>
    </row>
    <row r="668">
      <c r="D668" s="135"/>
    </row>
    <row r="669">
      <c r="D669" s="135"/>
    </row>
    <row r="670">
      <c r="D670" s="135"/>
    </row>
    <row r="671">
      <c r="D671" s="135"/>
    </row>
    <row r="672">
      <c r="D672" s="135"/>
    </row>
    <row r="673">
      <c r="D673" s="135"/>
    </row>
    <row r="674">
      <c r="D674" s="135"/>
    </row>
    <row r="675">
      <c r="D675" s="135"/>
    </row>
    <row r="676">
      <c r="D676" s="135"/>
    </row>
    <row r="677">
      <c r="D677" s="135"/>
    </row>
    <row r="678">
      <c r="D678" s="135"/>
    </row>
    <row r="679">
      <c r="D679" s="135"/>
    </row>
    <row r="680">
      <c r="D680" s="135"/>
    </row>
    <row r="681">
      <c r="D681" s="135"/>
    </row>
    <row r="682">
      <c r="D682" s="135"/>
    </row>
    <row r="683">
      <c r="D683" s="135"/>
    </row>
    <row r="684">
      <c r="D684" s="135"/>
    </row>
    <row r="685">
      <c r="D685" s="135"/>
    </row>
    <row r="686">
      <c r="D686" s="135"/>
    </row>
    <row r="687">
      <c r="D687" s="135"/>
    </row>
    <row r="688">
      <c r="D688" s="135"/>
    </row>
    <row r="689">
      <c r="D689" s="135"/>
    </row>
    <row r="690">
      <c r="D690" s="135"/>
    </row>
    <row r="691">
      <c r="D691" s="135"/>
    </row>
    <row r="692">
      <c r="D692" s="135"/>
    </row>
    <row r="693">
      <c r="D693" s="135"/>
    </row>
    <row r="694">
      <c r="D694" s="135"/>
    </row>
    <row r="695">
      <c r="D695" s="135"/>
    </row>
    <row r="696">
      <c r="D696" s="135"/>
    </row>
    <row r="697">
      <c r="D697" s="135"/>
    </row>
    <row r="698">
      <c r="D698" s="135"/>
    </row>
    <row r="699">
      <c r="D699" s="135"/>
    </row>
    <row r="700">
      <c r="D700" s="135"/>
    </row>
    <row r="701">
      <c r="D701" s="135"/>
    </row>
    <row r="702">
      <c r="D702" s="135"/>
    </row>
    <row r="703">
      <c r="D703" s="135"/>
    </row>
    <row r="704">
      <c r="D704" s="135"/>
    </row>
    <row r="705">
      <c r="D705" s="135"/>
    </row>
    <row r="706">
      <c r="D706" s="135"/>
    </row>
    <row r="707">
      <c r="D707" s="135"/>
    </row>
    <row r="708">
      <c r="D708" s="135"/>
    </row>
    <row r="709">
      <c r="D709" s="135"/>
    </row>
    <row r="710">
      <c r="D710" s="135"/>
    </row>
    <row r="711">
      <c r="D711" s="135"/>
    </row>
    <row r="712">
      <c r="D712" s="135"/>
    </row>
    <row r="713">
      <c r="D713" s="135"/>
    </row>
    <row r="714">
      <c r="D714" s="135"/>
    </row>
    <row r="715">
      <c r="D715" s="135"/>
    </row>
    <row r="716">
      <c r="D716" s="135"/>
    </row>
    <row r="717">
      <c r="D717" s="135"/>
    </row>
    <row r="718">
      <c r="D718" s="135"/>
    </row>
    <row r="719">
      <c r="D719" s="135"/>
    </row>
    <row r="720">
      <c r="D720" s="135"/>
    </row>
    <row r="721">
      <c r="D721" s="135"/>
    </row>
    <row r="722">
      <c r="D722" s="135"/>
    </row>
    <row r="723">
      <c r="D723" s="135"/>
    </row>
    <row r="724">
      <c r="D724" s="135"/>
    </row>
    <row r="725">
      <c r="D725" s="135"/>
    </row>
    <row r="726">
      <c r="D726" s="135"/>
    </row>
    <row r="727">
      <c r="D727" s="135"/>
    </row>
    <row r="728">
      <c r="D728" s="135"/>
    </row>
    <row r="729">
      <c r="D729" s="135"/>
    </row>
    <row r="730">
      <c r="D730" s="135"/>
    </row>
    <row r="731">
      <c r="D731" s="135"/>
    </row>
    <row r="732">
      <c r="D732" s="135"/>
    </row>
    <row r="733">
      <c r="D733" s="135"/>
    </row>
    <row r="734">
      <c r="D734" s="135"/>
    </row>
    <row r="735">
      <c r="D735" s="135"/>
    </row>
    <row r="736">
      <c r="D736" s="135"/>
    </row>
    <row r="737">
      <c r="D737" s="135"/>
    </row>
    <row r="738">
      <c r="D738" s="135"/>
    </row>
    <row r="739">
      <c r="D739" s="135"/>
    </row>
    <row r="740">
      <c r="D740" s="135"/>
    </row>
    <row r="741">
      <c r="D741" s="135"/>
    </row>
    <row r="742">
      <c r="D742" s="135"/>
    </row>
    <row r="743">
      <c r="D743" s="135"/>
    </row>
    <row r="744">
      <c r="D744" s="135"/>
    </row>
    <row r="745">
      <c r="D745" s="135"/>
    </row>
    <row r="746">
      <c r="D746" s="135"/>
    </row>
    <row r="747">
      <c r="D747" s="135"/>
    </row>
    <row r="748">
      <c r="D748" s="135"/>
    </row>
    <row r="749">
      <c r="D749" s="135"/>
    </row>
    <row r="750">
      <c r="D750" s="135"/>
    </row>
    <row r="751">
      <c r="D751" s="135"/>
    </row>
    <row r="752">
      <c r="D752" s="135"/>
    </row>
    <row r="753">
      <c r="D753" s="135"/>
    </row>
    <row r="754">
      <c r="D754" s="135"/>
    </row>
    <row r="755">
      <c r="D755" s="135"/>
    </row>
    <row r="756">
      <c r="D756" s="135"/>
    </row>
    <row r="757">
      <c r="D757" s="135"/>
    </row>
    <row r="758">
      <c r="D758" s="135"/>
    </row>
    <row r="759">
      <c r="D759" s="135"/>
    </row>
    <row r="760">
      <c r="D760" s="135"/>
    </row>
    <row r="761">
      <c r="D761" s="135"/>
    </row>
    <row r="762">
      <c r="D762" s="135"/>
    </row>
    <row r="763">
      <c r="D763" s="135"/>
    </row>
    <row r="764">
      <c r="D764" s="135"/>
    </row>
    <row r="765">
      <c r="D765" s="135"/>
    </row>
    <row r="766">
      <c r="D766" s="135"/>
    </row>
    <row r="767">
      <c r="D767" s="135"/>
    </row>
    <row r="768">
      <c r="D768" s="135"/>
    </row>
    <row r="769">
      <c r="D769" s="135"/>
    </row>
    <row r="770">
      <c r="D770" s="135"/>
    </row>
    <row r="771">
      <c r="D771" s="135"/>
    </row>
    <row r="772">
      <c r="D772" s="135"/>
    </row>
    <row r="773">
      <c r="D773" s="135"/>
    </row>
    <row r="774">
      <c r="D774" s="135"/>
    </row>
    <row r="775">
      <c r="D775" s="135"/>
    </row>
    <row r="776">
      <c r="D776" s="135"/>
    </row>
    <row r="777">
      <c r="D777" s="135"/>
    </row>
    <row r="778">
      <c r="D778" s="135"/>
    </row>
    <row r="779">
      <c r="D779" s="135"/>
    </row>
    <row r="780">
      <c r="D780" s="135"/>
    </row>
    <row r="781">
      <c r="D781" s="135"/>
    </row>
    <row r="782">
      <c r="D782" s="135"/>
    </row>
    <row r="783">
      <c r="D783" s="135"/>
    </row>
    <row r="784">
      <c r="D784" s="135"/>
    </row>
    <row r="785">
      <c r="D785" s="135"/>
    </row>
    <row r="786">
      <c r="D786" s="135"/>
    </row>
    <row r="787">
      <c r="D787" s="135"/>
    </row>
    <row r="788">
      <c r="D788" s="135"/>
    </row>
    <row r="789">
      <c r="D789" s="135"/>
    </row>
    <row r="790">
      <c r="D790" s="135"/>
    </row>
    <row r="791">
      <c r="D791" s="135"/>
    </row>
    <row r="792">
      <c r="D792" s="135"/>
    </row>
    <row r="793">
      <c r="D793" s="135"/>
    </row>
    <row r="794">
      <c r="D794" s="135"/>
    </row>
    <row r="795">
      <c r="D795" s="135"/>
    </row>
    <row r="796">
      <c r="D796" s="135"/>
    </row>
    <row r="797">
      <c r="D797" s="135"/>
    </row>
    <row r="798">
      <c r="D798" s="135"/>
    </row>
    <row r="799">
      <c r="D799" s="135"/>
    </row>
    <row r="800">
      <c r="D800" s="135"/>
    </row>
    <row r="801">
      <c r="D801" s="135"/>
    </row>
    <row r="802">
      <c r="D802" s="135"/>
    </row>
    <row r="803">
      <c r="D803" s="135"/>
    </row>
    <row r="804">
      <c r="D804" s="135"/>
    </row>
    <row r="805">
      <c r="D805" s="135"/>
    </row>
    <row r="806">
      <c r="D806" s="135"/>
    </row>
    <row r="807">
      <c r="D807" s="135"/>
    </row>
    <row r="808">
      <c r="D808" s="135"/>
    </row>
    <row r="809">
      <c r="D809" s="135"/>
    </row>
    <row r="810">
      <c r="D810" s="135"/>
    </row>
    <row r="811">
      <c r="D811" s="135"/>
    </row>
    <row r="812">
      <c r="D812" s="135"/>
    </row>
    <row r="813">
      <c r="D813" s="135"/>
    </row>
    <row r="814">
      <c r="D814" s="135"/>
    </row>
    <row r="815">
      <c r="D815" s="135"/>
    </row>
    <row r="816">
      <c r="D816" s="135"/>
    </row>
    <row r="817">
      <c r="D817" s="135"/>
    </row>
    <row r="818">
      <c r="D818" s="135"/>
    </row>
    <row r="819">
      <c r="D819" s="135"/>
    </row>
    <row r="820">
      <c r="D820" s="135"/>
    </row>
    <row r="821">
      <c r="D821" s="135"/>
    </row>
    <row r="822">
      <c r="D822" s="135"/>
    </row>
    <row r="823">
      <c r="D823" s="135"/>
    </row>
    <row r="824">
      <c r="D824" s="135"/>
    </row>
    <row r="825">
      <c r="D825" s="135"/>
    </row>
    <row r="826">
      <c r="D826" s="135"/>
    </row>
    <row r="827">
      <c r="D827" s="135"/>
    </row>
    <row r="828">
      <c r="D828" s="135"/>
    </row>
    <row r="829">
      <c r="D829" s="135"/>
    </row>
    <row r="830">
      <c r="D830" s="135"/>
    </row>
    <row r="831">
      <c r="D831" s="135"/>
    </row>
    <row r="832">
      <c r="D832" s="135"/>
    </row>
    <row r="833">
      <c r="D833" s="135"/>
    </row>
    <row r="834">
      <c r="D834" s="135"/>
    </row>
    <row r="835">
      <c r="D835" s="135"/>
    </row>
    <row r="836">
      <c r="D836" s="135"/>
    </row>
    <row r="837">
      <c r="D837" s="135"/>
    </row>
    <row r="838">
      <c r="D838" s="135"/>
    </row>
    <row r="839">
      <c r="D839" s="135"/>
    </row>
    <row r="840">
      <c r="D840" s="135"/>
    </row>
    <row r="841">
      <c r="D841" s="135"/>
    </row>
    <row r="842">
      <c r="D842" s="135"/>
    </row>
    <row r="843">
      <c r="D843" s="135"/>
    </row>
    <row r="844">
      <c r="D844" s="135"/>
    </row>
    <row r="845">
      <c r="D845" s="135"/>
    </row>
    <row r="846">
      <c r="D846" s="135"/>
    </row>
    <row r="847">
      <c r="D847" s="135"/>
    </row>
    <row r="848">
      <c r="D848" s="135"/>
    </row>
    <row r="849">
      <c r="D849" s="135"/>
    </row>
    <row r="850">
      <c r="D850" s="135"/>
    </row>
    <row r="851">
      <c r="D851" s="135"/>
    </row>
    <row r="852">
      <c r="D852" s="135"/>
    </row>
    <row r="853">
      <c r="D853" s="135"/>
    </row>
    <row r="854">
      <c r="D854" s="135"/>
    </row>
    <row r="855">
      <c r="D855" s="135"/>
    </row>
    <row r="856">
      <c r="D856" s="135"/>
    </row>
    <row r="857">
      <c r="D857" s="135"/>
    </row>
    <row r="858">
      <c r="D858" s="135"/>
    </row>
    <row r="859">
      <c r="D859" s="135"/>
    </row>
    <row r="860">
      <c r="D860" s="135"/>
    </row>
    <row r="861">
      <c r="D861" s="135"/>
    </row>
    <row r="862">
      <c r="D862" s="135"/>
    </row>
    <row r="863">
      <c r="D863" s="135"/>
    </row>
    <row r="864">
      <c r="D864" s="135"/>
    </row>
    <row r="865">
      <c r="D865" s="135"/>
    </row>
    <row r="866">
      <c r="D866" s="135"/>
    </row>
    <row r="867">
      <c r="D867" s="135"/>
    </row>
    <row r="868">
      <c r="D868" s="135"/>
    </row>
    <row r="869">
      <c r="D869" s="135"/>
    </row>
    <row r="870">
      <c r="D870" s="135"/>
    </row>
    <row r="871">
      <c r="D871" s="135"/>
    </row>
    <row r="872">
      <c r="D872" s="135"/>
    </row>
    <row r="873">
      <c r="D873" s="135"/>
    </row>
    <row r="874">
      <c r="D874" s="135"/>
    </row>
    <row r="875">
      <c r="D875" s="135"/>
    </row>
    <row r="876">
      <c r="D876" s="135"/>
    </row>
    <row r="877">
      <c r="D877" s="135"/>
    </row>
    <row r="878">
      <c r="D878" s="135"/>
    </row>
    <row r="879">
      <c r="D879" s="135"/>
    </row>
    <row r="880">
      <c r="D880" s="135"/>
    </row>
    <row r="881">
      <c r="D881" s="135"/>
    </row>
    <row r="882">
      <c r="D882" s="135"/>
    </row>
    <row r="883">
      <c r="D883" s="135"/>
    </row>
    <row r="884">
      <c r="D884" s="135"/>
    </row>
    <row r="885">
      <c r="D885" s="135"/>
    </row>
    <row r="886">
      <c r="D886" s="135"/>
    </row>
    <row r="887">
      <c r="D887" s="135"/>
    </row>
    <row r="888">
      <c r="D888" s="135"/>
    </row>
    <row r="889">
      <c r="D889" s="135"/>
    </row>
    <row r="890">
      <c r="D890" s="135"/>
    </row>
    <row r="891">
      <c r="D891" s="135"/>
    </row>
    <row r="892">
      <c r="D892" s="135"/>
    </row>
    <row r="893">
      <c r="D893" s="135"/>
    </row>
    <row r="894">
      <c r="D894" s="135"/>
    </row>
    <row r="895">
      <c r="D895" s="135"/>
    </row>
    <row r="896">
      <c r="D896" s="135"/>
    </row>
    <row r="897">
      <c r="D897" s="135"/>
    </row>
    <row r="898">
      <c r="D898" s="135"/>
    </row>
    <row r="899">
      <c r="D899" s="135"/>
    </row>
    <row r="900">
      <c r="D900" s="135"/>
    </row>
    <row r="901">
      <c r="D901" s="135"/>
    </row>
    <row r="902">
      <c r="D902" s="135"/>
    </row>
    <row r="903">
      <c r="D903" s="135"/>
    </row>
    <row r="904">
      <c r="D904" s="135"/>
    </row>
    <row r="905">
      <c r="D905" s="135"/>
    </row>
    <row r="906">
      <c r="D906" s="135"/>
    </row>
    <row r="907">
      <c r="D907" s="135"/>
    </row>
    <row r="908">
      <c r="D908" s="135"/>
    </row>
    <row r="909">
      <c r="D909" s="135"/>
    </row>
    <row r="910">
      <c r="D910" s="135"/>
    </row>
    <row r="911">
      <c r="D911" s="135"/>
    </row>
    <row r="912">
      <c r="D912" s="135"/>
    </row>
    <row r="913">
      <c r="D913" s="135"/>
    </row>
    <row r="914">
      <c r="D914" s="135"/>
    </row>
    <row r="915">
      <c r="D915" s="135"/>
    </row>
    <row r="916">
      <c r="D916" s="135"/>
    </row>
    <row r="917">
      <c r="D917" s="135"/>
    </row>
    <row r="918">
      <c r="D918" s="135"/>
    </row>
    <row r="919">
      <c r="D919" s="135"/>
    </row>
    <row r="920">
      <c r="D920" s="135"/>
    </row>
    <row r="921">
      <c r="D921" s="135"/>
    </row>
    <row r="922">
      <c r="D922" s="135"/>
    </row>
    <row r="923">
      <c r="D923" s="135"/>
    </row>
    <row r="924">
      <c r="D924" s="135"/>
    </row>
    <row r="925">
      <c r="D925" s="135"/>
    </row>
    <row r="926">
      <c r="D926" s="135"/>
    </row>
    <row r="927">
      <c r="D927" s="135"/>
    </row>
    <row r="928">
      <c r="D928" s="135"/>
    </row>
    <row r="929">
      <c r="D929" s="135"/>
    </row>
    <row r="930">
      <c r="D930" s="135"/>
    </row>
    <row r="931">
      <c r="D931" s="135"/>
    </row>
    <row r="932">
      <c r="D932" s="135"/>
    </row>
    <row r="933">
      <c r="D933" s="135"/>
    </row>
    <row r="934">
      <c r="D934" s="135"/>
    </row>
    <row r="935">
      <c r="D935" s="135"/>
    </row>
    <row r="936">
      <c r="D936" s="135"/>
    </row>
    <row r="937">
      <c r="D937" s="135"/>
    </row>
    <row r="938">
      <c r="D938" s="135"/>
    </row>
    <row r="939">
      <c r="D939" s="135"/>
    </row>
    <row r="940">
      <c r="D940" s="135"/>
    </row>
    <row r="941">
      <c r="D941" s="135"/>
    </row>
    <row r="942">
      <c r="D942" s="135"/>
    </row>
    <row r="943">
      <c r="D943" s="135"/>
    </row>
    <row r="944">
      <c r="D944" s="135"/>
    </row>
    <row r="945">
      <c r="D945" s="135"/>
    </row>
    <row r="946">
      <c r="D946" s="135"/>
    </row>
    <row r="947">
      <c r="D947" s="135"/>
    </row>
    <row r="948">
      <c r="D948" s="135"/>
    </row>
    <row r="949">
      <c r="D949" s="135"/>
    </row>
    <row r="950">
      <c r="D950" s="135"/>
    </row>
    <row r="951">
      <c r="D951" s="135"/>
    </row>
    <row r="952">
      <c r="D952" s="135"/>
    </row>
    <row r="953">
      <c r="D953" s="135"/>
    </row>
    <row r="954">
      <c r="D954" s="135"/>
    </row>
    <row r="955">
      <c r="D955" s="135"/>
    </row>
    <row r="956">
      <c r="D956" s="135"/>
    </row>
    <row r="957">
      <c r="D957" s="135"/>
    </row>
    <row r="958">
      <c r="D958" s="135"/>
    </row>
    <row r="959">
      <c r="D959" s="135"/>
    </row>
    <row r="960">
      <c r="D960" s="135"/>
    </row>
    <row r="961">
      <c r="D961" s="135"/>
    </row>
    <row r="962">
      <c r="D962" s="135"/>
    </row>
    <row r="963">
      <c r="D963" s="135"/>
    </row>
    <row r="964">
      <c r="D964" s="135"/>
    </row>
    <row r="965">
      <c r="D965" s="135"/>
    </row>
    <row r="966">
      <c r="D966" s="135"/>
    </row>
    <row r="967">
      <c r="D967" s="135"/>
    </row>
    <row r="968">
      <c r="D968" s="135"/>
    </row>
    <row r="969">
      <c r="D969" s="135"/>
    </row>
    <row r="970">
      <c r="D970" s="135"/>
    </row>
    <row r="971">
      <c r="D971" s="135"/>
    </row>
    <row r="972">
      <c r="D972" s="135"/>
    </row>
    <row r="973">
      <c r="D973" s="135"/>
    </row>
    <row r="974">
      <c r="D974" s="135"/>
    </row>
    <row r="975">
      <c r="D975" s="135"/>
    </row>
    <row r="976">
      <c r="D976" s="135"/>
    </row>
  </sheetData>
  <hyperlinks>
    <hyperlink r:id="rId1" ref="F2"/>
    <hyperlink r:id="rId2" ref="F3"/>
    <hyperlink r:id="rId3" ref="F4"/>
    <hyperlink r:id="rId4" ref="F7"/>
    <hyperlink r:id="rId5" ref="F8"/>
    <hyperlink r:id="rId6" ref="F10"/>
    <hyperlink r:id="rId7" ref="F12"/>
    <hyperlink r:id="rId8" ref="F13"/>
    <hyperlink r:id="rId9" ref="F14"/>
    <hyperlink r:id="rId10" ref="D15"/>
    <hyperlink r:id="rId11" ref="D16"/>
    <hyperlink r:id="rId12" ref="D17"/>
    <hyperlink r:id="rId13" ref="D18"/>
    <hyperlink r:id="rId14" ref="F18"/>
    <hyperlink r:id="rId15" ref="F19"/>
    <hyperlink r:id="rId16" ref="F21"/>
    <hyperlink r:id="rId17" ref="D22"/>
    <hyperlink r:id="rId18" ref="G23"/>
    <hyperlink r:id="rId19" ref="D24"/>
    <hyperlink r:id="rId20" ref="F24"/>
    <hyperlink r:id="rId21" ref="D25"/>
    <hyperlink r:id="rId22" ref="D26"/>
    <hyperlink r:id="rId23" ref="D27"/>
    <hyperlink r:id="rId24" ref="F27"/>
    <hyperlink r:id="rId25" ref="D28"/>
    <hyperlink r:id="rId26" ref="D29"/>
    <hyperlink r:id="rId27" ref="D30"/>
    <hyperlink r:id="rId28" ref="D31"/>
    <hyperlink r:id="rId29" ref="D33"/>
    <hyperlink r:id="rId30" ref="F33"/>
    <hyperlink r:id="rId31" ref="F34"/>
    <hyperlink r:id="rId32" ref="F35"/>
    <hyperlink r:id="rId33" ref="F36"/>
    <hyperlink r:id="rId34" ref="F37"/>
    <hyperlink r:id="rId35" ref="F38"/>
  </hyperlinks>
  <drawing r:id="rId3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11.29"/>
    <col customWidth="1" min="3" max="3" width="15.14"/>
    <col customWidth="1" min="4" max="4" width="57.14"/>
    <col customWidth="1" min="5" max="5" width="13.43"/>
    <col customWidth="1" min="6" max="6" width="25.86"/>
    <col customWidth="1" min="7" max="7" width="16.0"/>
    <col customWidth="1" min="8" max="8" width="43.57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7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9"/>
      <c r="AA1" s="40"/>
    </row>
    <row r="2">
      <c r="A2" s="174" t="s">
        <v>2607</v>
      </c>
      <c r="B2" s="37" t="s">
        <v>2608</v>
      </c>
      <c r="C2" s="37" t="s">
        <v>3438</v>
      </c>
      <c r="D2" s="42"/>
      <c r="E2" s="37"/>
      <c r="F2" s="37"/>
      <c r="G2" s="37"/>
      <c r="H2" s="37" t="s">
        <v>2609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183"/>
    </row>
    <row r="3">
      <c r="A3" s="174" t="s">
        <v>2610</v>
      </c>
      <c r="B3" s="37" t="s">
        <v>2608</v>
      </c>
      <c r="C3" s="37" t="s">
        <v>3384</v>
      </c>
      <c r="D3" s="38" t="s">
        <v>2611</v>
      </c>
      <c r="E3" s="37" t="s">
        <v>2612</v>
      </c>
      <c r="F3" s="37" t="s">
        <v>2613</v>
      </c>
      <c r="G3" s="37" t="s">
        <v>2614</v>
      </c>
      <c r="H3" s="37" t="s">
        <v>2615</v>
      </c>
      <c r="I3" s="37"/>
      <c r="J3" s="37"/>
      <c r="K3" s="37"/>
      <c r="L3" s="37">
        <v>120.0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183"/>
    </row>
    <row r="4">
      <c r="A4" s="37" t="s">
        <v>2616</v>
      </c>
      <c r="B4" s="37" t="s">
        <v>2608</v>
      </c>
      <c r="C4" s="37" t="s">
        <v>3429</v>
      </c>
      <c r="D4" s="38" t="s">
        <v>2617</v>
      </c>
      <c r="E4" s="37" t="s">
        <v>2618</v>
      </c>
      <c r="F4" s="37" t="s">
        <v>2619</v>
      </c>
      <c r="G4" s="37"/>
      <c r="H4" s="37" t="s">
        <v>2620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183"/>
    </row>
    <row r="5">
      <c r="A5" s="37" t="s">
        <v>2621</v>
      </c>
      <c r="B5" s="37" t="s">
        <v>2608</v>
      </c>
      <c r="C5" s="37" t="s">
        <v>3458</v>
      </c>
      <c r="D5" s="38" t="s">
        <v>2622</v>
      </c>
      <c r="E5" s="37" t="s">
        <v>2623</v>
      </c>
      <c r="F5" s="45" t="s">
        <v>2624</v>
      </c>
      <c r="G5" s="37"/>
      <c r="H5" s="37" t="s">
        <v>2625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412</v>
      </c>
      <c r="Z5" s="183"/>
    </row>
    <row r="6">
      <c r="A6" s="37" t="s">
        <v>2626</v>
      </c>
      <c r="B6" s="37" t="s">
        <v>2608</v>
      </c>
      <c r="C6" s="37" t="s">
        <v>3429</v>
      </c>
      <c r="D6" s="38" t="s">
        <v>2627</v>
      </c>
      <c r="E6" s="37">
        <v>5.3068118E7</v>
      </c>
      <c r="F6" s="45" t="s">
        <v>2628</v>
      </c>
      <c r="G6" s="37"/>
      <c r="H6" s="37" t="s">
        <v>2629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183"/>
    </row>
    <row r="7">
      <c r="A7" s="174" t="s">
        <v>2630</v>
      </c>
      <c r="B7" s="37" t="s">
        <v>2608</v>
      </c>
      <c r="C7" s="37" t="s">
        <v>211</v>
      </c>
      <c r="D7" s="38" t="s">
        <v>2631</v>
      </c>
      <c r="E7" s="37" t="s">
        <v>2632</v>
      </c>
      <c r="F7" s="37" t="s">
        <v>2633</v>
      </c>
      <c r="G7" s="37" t="s">
        <v>2634</v>
      </c>
      <c r="H7" s="37" t="s">
        <v>2635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183"/>
    </row>
    <row r="8">
      <c r="A8" s="174" t="s">
        <v>2636</v>
      </c>
      <c r="B8" s="37" t="s">
        <v>2608</v>
      </c>
      <c r="C8" s="37" t="s">
        <v>211</v>
      </c>
      <c r="D8" s="42"/>
      <c r="E8" s="37">
        <v>5264037.0</v>
      </c>
      <c r="F8" s="37" t="s">
        <v>2637</v>
      </c>
      <c r="G8" s="37" t="s">
        <v>2634</v>
      </c>
      <c r="H8" s="37" t="s">
        <v>2638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183"/>
    </row>
    <row r="9">
      <c r="A9" s="174" t="s">
        <v>2639</v>
      </c>
      <c r="B9" s="37" t="s">
        <v>2608</v>
      </c>
      <c r="C9" s="37" t="s">
        <v>211</v>
      </c>
      <c r="D9" s="38" t="s">
        <v>2512</v>
      </c>
      <c r="E9" s="37" t="s">
        <v>2640</v>
      </c>
      <c r="F9" s="37" t="s">
        <v>2514</v>
      </c>
      <c r="G9" s="37" t="s">
        <v>2209</v>
      </c>
      <c r="H9" s="37" t="s">
        <v>2641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183"/>
    </row>
    <row r="10">
      <c r="A10" s="174" t="s">
        <v>2642</v>
      </c>
      <c r="B10" s="37" t="s">
        <v>2608</v>
      </c>
      <c r="C10" s="37" t="s">
        <v>211</v>
      </c>
      <c r="D10" s="38" t="s">
        <v>2643</v>
      </c>
      <c r="E10" s="37" t="s">
        <v>2644</v>
      </c>
      <c r="F10" s="37" t="s">
        <v>2645</v>
      </c>
      <c r="G10" s="37" t="s">
        <v>2646</v>
      </c>
      <c r="H10" s="37" t="s">
        <v>2647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183"/>
    </row>
    <row r="11">
      <c r="A11" s="174" t="s">
        <v>2648</v>
      </c>
      <c r="B11" s="37" t="s">
        <v>2608</v>
      </c>
      <c r="C11" s="37" t="s">
        <v>211</v>
      </c>
      <c r="D11" s="38" t="s">
        <v>2649</v>
      </c>
      <c r="E11" s="37" t="s">
        <v>2418</v>
      </c>
      <c r="F11" s="37" t="s">
        <v>2419</v>
      </c>
      <c r="G11" s="37" t="s">
        <v>2420</v>
      </c>
      <c r="H11" s="37" t="s">
        <v>2650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183"/>
    </row>
    <row r="12">
      <c r="A12" s="174" t="s">
        <v>2651</v>
      </c>
      <c r="B12" s="37" t="s">
        <v>2608</v>
      </c>
      <c r="C12" s="37" t="s">
        <v>262</v>
      </c>
      <c r="D12" s="38" t="s">
        <v>2652</v>
      </c>
      <c r="E12" s="37" t="s">
        <v>2653</v>
      </c>
      <c r="F12" s="37" t="s">
        <v>2654</v>
      </c>
      <c r="G12" s="37" t="s">
        <v>2655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183"/>
    </row>
    <row r="13">
      <c r="A13" s="174" t="s">
        <v>2656</v>
      </c>
      <c r="B13" s="37" t="s">
        <v>2608</v>
      </c>
      <c r="C13" s="37" t="s">
        <v>262</v>
      </c>
      <c r="D13" s="38" t="s">
        <v>2657</v>
      </c>
      <c r="E13" s="37" t="s">
        <v>2658</v>
      </c>
      <c r="F13" s="37" t="s">
        <v>2659</v>
      </c>
      <c r="G13" s="37" t="s">
        <v>2660</v>
      </c>
      <c r="H13" s="37" t="s">
        <v>2661</v>
      </c>
      <c r="I13" s="37"/>
      <c r="J13" s="37"/>
      <c r="K13" s="37"/>
      <c r="L13" s="37"/>
      <c r="M13" s="37"/>
      <c r="N13" s="37"/>
      <c r="O13" s="37"/>
      <c r="P13" s="37" t="s">
        <v>412</v>
      </c>
      <c r="Q13" s="37"/>
      <c r="R13" s="37"/>
      <c r="S13" s="37"/>
      <c r="T13" s="37"/>
      <c r="U13" s="37"/>
      <c r="V13" s="37"/>
      <c r="W13" s="37"/>
      <c r="X13" s="37"/>
      <c r="Y13" s="37"/>
      <c r="Z13" s="183"/>
    </row>
    <row r="14">
      <c r="A14" s="174" t="s">
        <v>2662</v>
      </c>
      <c r="B14" s="37" t="s">
        <v>2608</v>
      </c>
      <c r="C14" s="37" t="s">
        <v>262</v>
      </c>
      <c r="D14" s="38" t="s">
        <v>2663</v>
      </c>
      <c r="E14" s="37" t="s">
        <v>2664</v>
      </c>
      <c r="F14" s="37" t="s">
        <v>2665</v>
      </c>
      <c r="G14" s="37" t="s">
        <v>2666</v>
      </c>
      <c r="H14" s="37" t="s">
        <v>2667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183"/>
    </row>
    <row r="15">
      <c r="A15" s="174" t="s">
        <v>2668</v>
      </c>
      <c r="B15" s="37" t="s">
        <v>2608</v>
      </c>
      <c r="C15" s="37" t="s">
        <v>262</v>
      </c>
      <c r="D15" s="38" t="s">
        <v>2669</v>
      </c>
      <c r="E15" s="37" t="s">
        <v>2670</v>
      </c>
      <c r="F15" s="37" t="s">
        <v>2671</v>
      </c>
      <c r="G15" s="37" t="s">
        <v>2672</v>
      </c>
      <c r="H15" s="37" t="s">
        <v>2673</v>
      </c>
      <c r="I15" s="37"/>
      <c r="J15" s="37"/>
      <c r="K15" s="37"/>
      <c r="L15" s="37"/>
      <c r="M15" s="37"/>
      <c r="N15" s="37"/>
      <c r="O15" s="37"/>
      <c r="P15" s="37" t="s">
        <v>412</v>
      </c>
      <c r="Q15" s="37"/>
      <c r="R15" s="37"/>
      <c r="S15" s="37"/>
      <c r="T15" s="37"/>
      <c r="U15" s="37"/>
      <c r="V15" s="37"/>
      <c r="W15" s="37"/>
      <c r="X15" s="37"/>
      <c r="Y15" s="37"/>
      <c r="Z15" s="183"/>
    </row>
    <row r="16">
      <c r="A16" s="174" t="s">
        <v>2674</v>
      </c>
      <c r="B16" s="37" t="s">
        <v>2608</v>
      </c>
      <c r="C16" s="37" t="s">
        <v>262</v>
      </c>
      <c r="D16" s="38" t="s">
        <v>2675</v>
      </c>
      <c r="E16" s="37" t="s">
        <v>2676</v>
      </c>
      <c r="F16" s="37" t="s">
        <v>2677</v>
      </c>
      <c r="G16" s="37" t="s">
        <v>2678</v>
      </c>
      <c r="H16" s="37" t="s">
        <v>2679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183"/>
    </row>
    <row r="17">
      <c r="A17" s="174" t="s">
        <v>2680</v>
      </c>
      <c r="B17" s="37" t="s">
        <v>2608</v>
      </c>
      <c r="C17" s="37" t="s">
        <v>3458</v>
      </c>
      <c r="D17" s="42"/>
      <c r="E17" s="37" t="s">
        <v>2681</v>
      </c>
      <c r="F17" s="37" t="s">
        <v>2682</v>
      </c>
      <c r="G17" s="37" t="s">
        <v>2683</v>
      </c>
      <c r="H17" s="37" t="s">
        <v>2684</v>
      </c>
      <c r="I17" s="37"/>
      <c r="J17" s="37" t="s">
        <v>412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183"/>
    </row>
    <row r="18">
      <c r="A18" s="174" t="s">
        <v>2685</v>
      </c>
      <c r="B18" s="37" t="s">
        <v>2608</v>
      </c>
      <c r="C18" s="37" t="s">
        <v>3458</v>
      </c>
      <c r="D18" s="38" t="s">
        <v>2686</v>
      </c>
      <c r="E18" s="37"/>
      <c r="F18" s="37" t="s">
        <v>2687</v>
      </c>
      <c r="G18" s="37"/>
      <c r="H18" s="37" t="s">
        <v>2688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183"/>
    </row>
    <row r="19">
      <c r="A19" s="174" t="s">
        <v>2689</v>
      </c>
      <c r="B19" s="37" t="s">
        <v>2608</v>
      </c>
      <c r="C19" s="37" t="s">
        <v>3458</v>
      </c>
      <c r="D19" s="42"/>
      <c r="E19" s="37" t="s">
        <v>2690</v>
      </c>
      <c r="F19" s="37" t="s">
        <v>2691</v>
      </c>
      <c r="G19" s="37" t="s">
        <v>2692</v>
      </c>
      <c r="H19" s="37" t="s">
        <v>2693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183"/>
    </row>
    <row r="20">
      <c r="A20" s="174" t="s">
        <v>2694</v>
      </c>
      <c r="B20" s="37" t="s">
        <v>2608</v>
      </c>
      <c r="C20" s="37" t="s">
        <v>3430</v>
      </c>
      <c r="D20" s="38" t="s">
        <v>2695</v>
      </c>
      <c r="E20" s="37" t="s">
        <v>2696</v>
      </c>
      <c r="F20" s="45" t="s">
        <v>2697</v>
      </c>
      <c r="G20" s="37" t="s">
        <v>2698</v>
      </c>
      <c r="H20" s="37" t="s">
        <v>2699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183"/>
    </row>
    <row r="21">
      <c r="A21" s="174" t="s">
        <v>2700</v>
      </c>
      <c r="B21" s="37" t="s">
        <v>2608</v>
      </c>
      <c r="C21" s="37" t="s">
        <v>3458</v>
      </c>
      <c r="D21" s="38" t="s">
        <v>2701</v>
      </c>
      <c r="E21" s="37" t="s">
        <v>2702</v>
      </c>
      <c r="F21" s="45" t="s">
        <v>2703</v>
      </c>
      <c r="G21" s="37" t="s">
        <v>2704</v>
      </c>
      <c r="H21" s="37" t="s">
        <v>2705</v>
      </c>
      <c r="I21" s="37"/>
      <c r="J21" s="37"/>
      <c r="K21" s="37"/>
      <c r="L21" s="37"/>
      <c r="M21" s="37"/>
      <c r="N21" s="37"/>
      <c r="O21" s="37"/>
      <c r="P21" s="37"/>
      <c r="Q21" s="37"/>
      <c r="R21" s="37" t="s">
        <v>412</v>
      </c>
      <c r="S21" s="37"/>
      <c r="T21" s="37"/>
      <c r="U21" s="37"/>
      <c r="V21" s="37"/>
      <c r="W21" s="37"/>
      <c r="X21" s="37"/>
      <c r="Y21" s="37"/>
      <c r="Z21" s="183"/>
    </row>
    <row r="22">
      <c r="A22" s="174" t="s">
        <v>2706</v>
      </c>
      <c r="B22" s="37"/>
      <c r="C22" s="37" t="s">
        <v>3458</v>
      </c>
      <c r="D22" s="38" t="s">
        <v>2707</v>
      </c>
      <c r="E22" s="37" t="s">
        <v>2708</v>
      </c>
      <c r="F22" s="37" t="s">
        <v>2709</v>
      </c>
      <c r="G22" s="37" t="s">
        <v>2710</v>
      </c>
      <c r="H22" s="37" t="s">
        <v>2711</v>
      </c>
      <c r="I22" s="37"/>
      <c r="J22" s="37" t="s">
        <v>412</v>
      </c>
      <c r="K22" s="37"/>
      <c r="L22" s="37"/>
      <c r="M22" s="37"/>
      <c r="N22" s="37"/>
      <c r="O22" s="37"/>
      <c r="P22" s="37" t="s">
        <v>412</v>
      </c>
      <c r="Q22" s="37"/>
      <c r="R22" s="37"/>
      <c r="S22" s="37"/>
      <c r="T22" s="37"/>
      <c r="U22" s="37"/>
      <c r="V22" s="37"/>
      <c r="W22" s="37"/>
      <c r="X22" s="37"/>
      <c r="Y22" s="37"/>
      <c r="Z22" s="183"/>
    </row>
    <row r="23">
      <c r="A23" s="37" t="s">
        <v>2712</v>
      </c>
      <c r="B23" s="37" t="s">
        <v>2608</v>
      </c>
      <c r="C23" s="37" t="s">
        <v>3430</v>
      </c>
      <c r="D23" s="42"/>
      <c r="E23" s="37" t="s">
        <v>2713</v>
      </c>
      <c r="F23" s="45" t="s">
        <v>2714</v>
      </c>
      <c r="G23" s="37" t="s">
        <v>2715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183"/>
    </row>
    <row r="24">
      <c r="A24" s="174" t="s">
        <v>2716</v>
      </c>
      <c r="B24" s="37" t="s">
        <v>2608</v>
      </c>
      <c r="C24" s="37" t="s">
        <v>3429</v>
      </c>
      <c r="D24" s="38" t="s">
        <v>2717</v>
      </c>
      <c r="E24" s="37" t="s">
        <v>2718</v>
      </c>
      <c r="F24" s="45" t="s">
        <v>2719</v>
      </c>
      <c r="G24" s="37"/>
      <c r="H24" s="37" t="s">
        <v>2720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183"/>
    </row>
    <row r="25">
      <c r="A25" s="174" t="s">
        <v>2721</v>
      </c>
      <c r="B25" s="37" t="s">
        <v>2608</v>
      </c>
      <c r="C25" s="37" t="s">
        <v>3458</v>
      </c>
      <c r="D25" s="38" t="s">
        <v>2722</v>
      </c>
      <c r="E25" s="37">
        <v>5217587.0</v>
      </c>
      <c r="F25" s="37" t="s">
        <v>2723</v>
      </c>
      <c r="G25" s="37" t="s">
        <v>2724</v>
      </c>
      <c r="H25" s="37" t="s">
        <v>2725</v>
      </c>
      <c r="I25" s="37">
        <v>20.0</v>
      </c>
      <c r="J25" s="37"/>
      <c r="K25" s="37" t="s">
        <v>3572</v>
      </c>
      <c r="L25" s="37"/>
      <c r="M25" s="37"/>
      <c r="N25" s="37"/>
      <c r="O25" s="37"/>
      <c r="P25" s="37" t="s">
        <v>412</v>
      </c>
      <c r="Q25" s="37"/>
      <c r="R25" s="37"/>
      <c r="S25" s="37"/>
      <c r="T25" s="37"/>
      <c r="U25" s="37"/>
      <c r="V25" s="37"/>
      <c r="W25" s="37"/>
      <c r="X25" s="37"/>
      <c r="Y25" s="37"/>
      <c r="Z25" s="183"/>
    </row>
    <row r="26">
      <c r="A26" s="37" t="s">
        <v>2726</v>
      </c>
      <c r="B26" s="37" t="s">
        <v>2608</v>
      </c>
      <c r="C26" s="37"/>
      <c r="D26" s="42"/>
      <c r="E26" s="37"/>
      <c r="F26" s="37"/>
      <c r="G26" s="37"/>
      <c r="H26" s="37" t="s">
        <v>2667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183"/>
    </row>
    <row r="27">
      <c r="A27" s="183" t="s">
        <v>2727</v>
      </c>
      <c r="B27" s="37" t="s">
        <v>2608</v>
      </c>
      <c r="C27" s="184" t="s">
        <v>3571</v>
      </c>
      <c r="D27" s="185"/>
      <c r="E27" s="183"/>
      <c r="F27" s="136" t="s">
        <v>2728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>
      <c r="A28" s="183" t="s">
        <v>2729</v>
      </c>
      <c r="B28" s="37" t="s">
        <v>2608</v>
      </c>
      <c r="C28" s="184" t="s">
        <v>3571</v>
      </c>
      <c r="D28" s="185"/>
      <c r="E28" s="183"/>
      <c r="F28" s="136" t="s">
        <v>2730</v>
      </c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>
      <c r="A29" s="183" t="s">
        <v>2731</v>
      </c>
      <c r="B29" s="37" t="s">
        <v>2608</v>
      </c>
      <c r="C29" s="184" t="s">
        <v>3571</v>
      </c>
      <c r="D29" s="185"/>
      <c r="E29" s="183"/>
      <c r="F29" s="136" t="s">
        <v>2732</v>
      </c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>
      <c r="A30" s="183" t="s">
        <v>2733</v>
      </c>
      <c r="B30" s="37" t="s">
        <v>2608</v>
      </c>
      <c r="C30" s="184" t="s">
        <v>3571</v>
      </c>
      <c r="D30" s="185"/>
      <c r="E30" s="183"/>
      <c r="F30" s="186" t="s">
        <v>2728</v>
      </c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>
      <c r="A31" s="183" t="s">
        <v>2734</v>
      </c>
      <c r="B31" s="37" t="s">
        <v>2608</v>
      </c>
      <c r="C31" s="184" t="s">
        <v>3571</v>
      </c>
      <c r="D31" s="185"/>
      <c r="E31" s="183"/>
      <c r="F31" s="136" t="s">
        <v>2735</v>
      </c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>
      <c r="A32" s="183" t="s">
        <v>2736</v>
      </c>
      <c r="B32" s="37" t="s">
        <v>2608</v>
      </c>
      <c r="C32" s="184" t="s">
        <v>3424</v>
      </c>
      <c r="D32" s="185"/>
      <c r="E32" s="183"/>
      <c r="F32" s="136" t="s">
        <v>2737</v>
      </c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>
      <c r="A33" s="183"/>
      <c r="B33" s="183"/>
      <c r="C33" s="183"/>
      <c r="D33" s="185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>
      <c r="A34" s="183"/>
      <c r="B34" s="183"/>
      <c r="C34" s="183"/>
      <c r="D34" s="185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>
      <c r="A35" s="183"/>
      <c r="B35" s="183"/>
      <c r="C35" s="183"/>
      <c r="D35" s="185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>
      <c r="A36" s="183"/>
      <c r="B36" s="183"/>
      <c r="C36" s="183"/>
      <c r="D36" s="185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>
      <c r="A37" s="183"/>
      <c r="B37" s="183"/>
      <c r="C37" s="183"/>
      <c r="D37" s="185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>
      <c r="A38" s="183"/>
      <c r="B38" s="183"/>
      <c r="C38" s="183"/>
      <c r="D38" s="185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>
      <c r="A39" s="183"/>
      <c r="B39" s="183"/>
      <c r="C39" s="183"/>
      <c r="D39" s="185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>
      <c r="A40" s="183"/>
      <c r="B40" s="183"/>
      <c r="C40" s="183"/>
      <c r="D40" s="185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>
      <c r="A41" s="183"/>
      <c r="B41" s="183"/>
      <c r="C41" s="183"/>
      <c r="D41" s="185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>
      <c r="A42" s="183"/>
      <c r="B42" s="183"/>
      <c r="C42" s="183"/>
      <c r="D42" s="185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>
      <c r="A43" s="183"/>
      <c r="B43" s="183"/>
      <c r="C43" s="183"/>
      <c r="D43" s="185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>
      <c r="A44" s="183"/>
      <c r="B44" s="183"/>
      <c r="C44" s="183"/>
      <c r="D44" s="185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>
      <c r="A45" s="183"/>
      <c r="B45" s="183"/>
      <c r="C45" s="183"/>
      <c r="D45" s="185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>
      <c r="A46" s="183"/>
      <c r="B46" s="183"/>
      <c r="C46" s="183"/>
      <c r="D46" s="185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>
      <c r="A47" s="183"/>
      <c r="B47" s="183"/>
      <c r="C47" s="183"/>
      <c r="D47" s="185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>
      <c r="A48" s="183"/>
      <c r="B48" s="183"/>
      <c r="C48" s="183"/>
      <c r="D48" s="185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>
      <c r="A49" s="183"/>
      <c r="B49" s="183"/>
      <c r="C49" s="183"/>
      <c r="D49" s="185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183"/>
      <c r="B50" s="183"/>
      <c r="C50" s="183"/>
      <c r="D50" s="185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183"/>
      <c r="B51" s="183"/>
      <c r="C51" s="183"/>
      <c r="D51" s="185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>
      <c r="A52" s="183"/>
      <c r="B52" s="183"/>
      <c r="C52" s="183"/>
      <c r="D52" s="185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>
      <c r="A53" s="183"/>
      <c r="B53" s="183"/>
      <c r="C53" s="183"/>
      <c r="D53" s="185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>
      <c r="A54" s="183"/>
      <c r="B54" s="183"/>
      <c r="C54" s="183"/>
      <c r="D54" s="185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>
      <c r="A55" s="183"/>
      <c r="B55" s="183"/>
      <c r="C55" s="183"/>
      <c r="D55" s="185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>
      <c r="A56" s="183"/>
      <c r="B56" s="183"/>
      <c r="C56" s="183"/>
      <c r="D56" s="185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>
      <c r="A57" s="183"/>
      <c r="B57" s="183"/>
      <c r="C57" s="183"/>
      <c r="D57" s="185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>
      <c r="A58" s="183"/>
      <c r="B58" s="183"/>
      <c r="C58" s="183"/>
      <c r="D58" s="185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>
      <c r="A59" s="183"/>
      <c r="B59" s="183"/>
      <c r="C59" s="183"/>
      <c r="D59" s="185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>
      <c r="A60" s="183"/>
      <c r="B60" s="183"/>
      <c r="C60" s="183"/>
      <c r="D60" s="185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>
      <c r="A61" s="183"/>
      <c r="B61" s="183"/>
      <c r="C61" s="183"/>
      <c r="D61" s="185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>
      <c r="A62" s="183"/>
      <c r="B62" s="183"/>
      <c r="C62" s="183"/>
      <c r="D62" s="185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>
      <c r="A63" s="183"/>
      <c r="B63" s="183"/>
      <c r="C63" s="183"/>
      <c r="D63" s="185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>
      <c r="A64" s="183"/>
      <c r="B64" s="183"/>
      <c r="C64" s="183"/>
      <c r="D64" s="185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>
      <c r="A65" s="183"/>
      <c r="B65" s="183"/>
      <c r="C65" s="183"/>
      <c r="D65" s="185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>
      <c r="A66" s="183"/>
      <c r="B66" s="183"/>
      <c r="C66" s="183"/>
      <c r="D66" s="185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>
      <c r="A67" s="183"/>
      <c r="B67" s="183"/>
      <c r="C67" s="183"/>
      <c r="D67" s="185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>
      <c r="A68" s="183"/>
      <c r="B68" s="183"/>
      <c r="C68" s="183"/>
      <c r="D68" s="185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>
      <c r="A69" s="183"/>
      <c r="B69" s="183"/>
      <c r="C69" s="183"/>
      <c r="D69" s="185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>
      <c r="A70" s="183"/>
      <c r="B70" s="183"/>
      <c r="C70" s="183"/>
      <c r="D70" s="185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>
      <c r="A71" s="183"/>
      <c r="B71" s="183"/>
      <c r="C71" s="183"/>
      <c r="D71" s="185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>
      <c r="A72" s="183"/>
      <c r="B72" s="183"/>
      <c r="C72" s="183"/>
      <c r="D72" s="185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>
      <c r="A73" s="183"/>
      <c r="B73" s="183"/>
      <c r="C73" s="183"/>
      <c r="D73" s="185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>
      <c r="A74" s="183"/>
      <c r="B74" s="183"/>
      <c r="C74" s="183"/>
      <c r="D74" s="185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>
      <c r="A75" s="183"/>
      <c r="B75" s="183"/>
      <c r="C75" s="183"/>
      <c r="D75" s="185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>
      <c r="A76" s="183"/>
      <c r="B76" s="183"/>
      <c r="C76" s="183"/>
      <c r="D76" s="185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>
      <c r="A77" s="183"/>
      <c r="B77" s="183"/>
      <c r="C77" s="183"/>
      <c r="D77" s="185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>
      <c r="A78" s="183"/>
      <c r="B78" s="183"/>
      <c r="C78" s="183"/>
      <c r="D78" s="185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>
      <c r="A79" s="183"/>
      <c r="B79" s="183"/>
      <c r="C79" s="183"/>
      <c r="D79" s="185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>
      <c r="A80" s="183"/>
      <c r="B80" s="183"/>
      <c r="C80" s="183"/>
      <c r="D80" s="185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>
      <c r="A81" s="183"/>
      <c r="B81" s="183"/>
      <c r="C81" s="183"/>
      <c r="D81" s="185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>
      <c r="A82" s="183"/>
      <c r="B82" s="183"/>
      <c r="C82" s="183"/>
      <c r="D82" s="185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>
      <c r="A83" s="183"/>
      <c r="B83" s="183"/>
      <c r="C83" s="183"/>
      <c r="D83" s="185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>
      <c r="A84" s="183"/>
      <c r="B84" s="183"/>
      <c r="C84" s="183"/>
      <c r="D84" s="185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>
      <c r="A85" s="183"/>
      <c r="B85" s="183"/>
      <c r="C85" s="183"/>
      <c r="D85" s="185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>
      <c r="A86" s="183"/>
      <c r="B86" s="183"/>
      <c r="C86" s="183"/>
      <c r="D86" s="185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>
      <c r="A87" s="183"/>
      <c r="B87" s="183"/>
      <c r="C87" s="183"/>
      <c r="D87" s="185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>
      <c r="A88" s="183"/>
      <c r="B88" s="183"/>
      <c r="C88" s="183"/>
      <c r="D88" s="185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>
      <c r="A89" s="183"/>
      <c r="B89" s="183"/>
      <c r="C89" s="183"/>
      <c r="D89" s="185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>
      <c r="A90" s="183"/>
      <c r="B90" s="183"/>
      <c r="C90" s="183"/>
      <c r="D90" s="185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>
      <c r="A91" s="183"/>
      <c r="B91" s="183"/>
      <c r="C91" s="183"/>
      <c r="D91" s="185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>
      <c r="A92" s="183"/>
      <c r="B92" s="183"/>
      <c r="C92" s="183"/>
      <c r="D92" s="185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>
      <c r="A93" s="183"/>
      <c r="B93" s="183"/>
      <c r="C93" s="183"/>
      <c r="D93" s="185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>
      <c r="A94" s="183"/>
      <c r="B94" s="183"/>
      <c r="C94" s="183"/>
      <c r="D94" s="185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>
      <c r="A95" s="183"/>
      <c r="B95" s="183"/>
      <c r="C95" s="183"/>
      <c r="D95" s="185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>
      <c r="A96" s="183"/>
      <c r="B96" s="183"/>
      <c r="C96" s="183"/>
      <c r="D96" s="185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>
      <c r="A97" s="183"/>
      <c r="B97" s="183"/>
      <c r="C97" s="183"/>
      <c r="D97" s="185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>
      <c r="A98" s="183"/>
      <c r="B98" s="183"/>
      <c r="C98" s="183"/>
      <c r="D98" s="185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>
      <c r="A99" s="183"/>
      <c r="B99" s="183"/>
      <c r="C99" s="183"/>
      <c r="D99" s="185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>
      <c r="A100" s="183"/>
      <c r="B100" s="183"/>
      <c r="C100" s="183"/>
      <c r="D100" s="185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>
      <c r="A101" s="183"/>
      <c r="B101" s="183"/>
      <c r="C101" s="183"/>
      <c r="D101" s="185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>
      <c r="A102" s="183"/>
      <c r="B102" s="183"/>
      <c r="C102" s="183"/>
      <c r="D102" s="185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>
      <c r="A103" s="183"/>
      <c r="B103" s="183"/>
      <c r="C103" s="183"/>
      <c r="D103" s="185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>
      <c r="A104" s="183"/>
      <c r="B104" s="183"/>
      <c r="C104" s="183"/>
      <c r="D104" s="185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>
      <c r="A105" s="183"/>
      <c r="B105" s="183"/>
      <c r="C105" s="183"/>
      <c r="D105" s="185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>
      <c r="A106" s="183"/>
      <c r="B106" s="183"/>
      <c r="C106" s="183"/>
      <c r="D106" s="185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>
      <c r="A107" s="183"/>
      <c r="B107" s="183"/>
      <c r="C107" s="183"/>
      <c r="D107" s="185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>
      <c r="A108" s="183"/>
      <c r="B108" s="183"/>
      <c r="C108" s="183"/>
      <c r="D108" s="185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>
      <c r="A109" s="183"/>
      <c r="B109" s="183"/>
      <c r="C109" s="183"/>
      <c r="D109" s="185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>
      <c r="A110" s="183"/>
      <c r="B110" s="183"/>
      <c r="C110" s="183"/>
      <c r="D110" s="185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>
      <c r="A111" s="183"/>
      <c r="B111" s="183"/>
      <c r="C111" s="183"/>
      <c r="D111" s="185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>
      <c r="A112" s="183"/>
      <c r="B112" s="183"/>
      <c r="C112" s="183"/>
      <c r="D112" s="185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>
      <c r="A113" s="183"/>
      <c r="B113" s="183"/>
      <c r="C113" s="183"/>
      <c r="D113" s="185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>
      <c r="A114" s="183"/>
      <c r="B114" s="183"/>
      <c r="C114" s="183"/>
      <c r="D114" s="185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>
      <c r="A115" s="183"/>
      <c r="B115" s="183"/>
      <c r="C115" s="183"/>
      <c r="D115" s="185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>
      <c r="A116" s="183"/>
      <c r="B116" s="183"/>
      <c r="C116" s="183"/>
      <c r="D116" s="185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>
      <c r="A117" s="183"/>
      <c r="B117" s="183"/>
      <c r="C117" s="183"/>
      <c r="D117" s="185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>
      <c r="A118" s="183"/>
      <c r="B118" s="183"/>
      <c r="C118" s="183"/>
      <c r="D118" s="185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>
      <c r="A119" s="183"/>
      <c r="B119" s="183"/>
      <c r="C119" s="183"/>
      <c r="D119" s="185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>
      <c r="A120" s="183"/>
      <c r="B120" s="183"/>
      <c r="C120" s="183"/>
      <c r="D120" s="185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>
      <c r="A121" s="183"/>
      <c r="B121" s="183"/>
      <c r="C121" s="183"/>
      <c r="D121" s="185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>
      <c r="A122" s="183"/>
      <c r="B122" s="183"/>
      <c r="C122" s="183"/>
      <c r="D122" s="185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>
      <c r="A123" s="183"/>
      <c r="B123" s="183"/>
      <c r="C123" s="183"/>
      <c r="D123" s="185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>
      <c r="A124" s="183"/>
      <c r="B124" s="183"/>
      <c r="C124" s="183"/>
      <c r="D124" s="185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>
      <c r="A125" s="183"/>
      <c r="B125" s="183"/>
      <c r="C125" s="183"/>
      <c r="D125" s="185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>
      <c r="A126" s="183"/>
      <c r="B126" s="183"/>
      <c r="C126" s="183"/>
      <c r="D126" s="185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>
      <c r="A127" s="183"/>
      <c r="B127" s="183"/>
      <c r="C127" s="183"/>
      <c r="D127" s="185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>
      <c r="A128" s="183"/>
      <c r="B128" s="183"/>
      <c r="C128" s="183"/>
      <c r="D128" s="185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>
      <c r="A129" s="183"/>
      <c r="B129" s="183"/>
      <c r="C129" s="183"/>
      <c r="D129" s="185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>
      <c r="A130" s="183"/>
      <c r="B130" s="183"/>
      <c r="C130" s="183"/>
      <c r="D130" s="185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>
      <c r="A131" s="183"/>
      <c r="B131" s="183"/>
      <c r="C131" s="183"/>
      <c r="D131" s="185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>
      <c r="A132" s="183"/>
      <c r="B132" s="183"/>
      <c r="C132" s="183"/>
      <c r="D132" s="185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>
      <c r="A133" s="183"/>
      <c r="B133" s="183"/>
      <c r="C133" s="183"/>
      <c r="D133" s="185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>
      <c r="A134" s="183"/>
      <c r="B134" s="183"/>
      <c r="C134" s="183"/>
      <c r="D134" s="185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>
      <c r="A135" s="183"/>
      <c r="B135" s="183"/>
      <c r="C135" s="183"/>
      <c r="D135" s="185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>
      <c r="A136" s="183"/>
      <c r="B136" s="183"/>
      <c r="C136" s="183"/>
      <c r="D136" s="185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>
      <c r="A137" s="183"/>
      <c r="B137" s="183"/>
      <c r="C137" s="183"/>
      <c r="D137" s="185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>
      <c r="A138" s="183"/>
      <c r="B138" s="183"/>
      <c r="C138" s="183"/>
      <c r="D138" s="185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>
      <c r="A139" s="183"/>
      <c r="B139" s="183"/>
      <c r="C139" s="183"/>
      <c r="D139" s="185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>
      <c r="A140" s="183"/>
      <c r="B140" s="183"/>
      <c r="C140" s="183"/>
      <c r="D140" s="185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>
      <c r="A141" s="183"/>
      <c r="B141" s="183"/>
      <c r="C141" s="183"/>
      <c r="D141" s="185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>
      <c r="A142" s="183"/>
      <c r="B142" s="183"/>
      <c r="C142" s="183"/>
      <c r="D142" s="185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>
      <c r="A143" s="183"/>
      <c r="B143" s="183"/>
      <c r="C143" s="183"/>
      <c r="D143" s="185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>
      <c r="A144" s="183"/>
      <c r="B144" s="183"/>
      <c r="C144" s="183"/>
      <c r="D144" s="185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>
      <c r="A145" s="183"/>
      <c r="B145" s="183"/>
      <c r="C145" s="183"/>
      <c r="D145" s="185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>
      <c r="A146" s="183"/>
      <c r="B146" s="183"/>
      <c r="C146" s="183"/>
      <c r="D146" s="185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>
      <c r="A147" s="183"/>
      <c r="B147" s="183"/>
      <c r="C147" s="183"/>
      <c r="D147" s="185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>
      <c r="A148" s="183"/>
      <c r="B148" s="183"/>
      <c r="C148" s="183"/>
      <c r="D148" s="185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>
      <c r="A149" s="183"/>
      <c r="B149" s="183"/>
      <c r="C149" s="183"/>
      <c r="D149" s="185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>
      <c r="A150" s="183"/>
      <c r="B150" s="183"/>
      <c r="C150" s="183"/>
      <c r="D150" s="185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>
      <c r="A151" s="183"/>
      <c r="B151" s="183"/>
      <c r="C151" s="183"/>
      <c r="D151" s="185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>
      <c r="A152" s="183"/>
      <c r="B152" s="183"/>
      <c r="C152" s="183"/>
      <c r="D152" s="185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>
      <c r="A153" s="183"/>
      <c r="B153" s="183"/>
      <c r="C153" s="183"/>
      <c r="D153" s="185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>
      <c r="A154" s="183"/>
      <c r="B154" s="183"/>
      <c r="C154" s="183"/>
      <c r="D154" s="185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>
      <c r="A155" s="183"/>
      <c r="B155" s="183"/>
      <c r="C155" s="183"/>
      <c r="D155" s="185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>
      <c r="A156" s="183"/>
      <c r="B156" s="183"/>
      <c r="C156" s="183"/>
      <c r="D156" s="185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>
      <c r="A157" s="183"/>
      <c r="B157" s="183"/>
      <c r="C157" s="183"/>
      <c r="D157" s="185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>
      <c r="A158" s="183"/>
      <c r="B158" s="183"/>
      <c r="C158" s="183"/>
      <c r="D158" s="185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>
      <c r="A159" s="183"/>
      <c r="B159" s="183"/>
      <c r="C159" s="183"/>
      <c r="D159" s="185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>
      <c r="A160" s="183"/>
      <c r="B160" s="183"/>
      <c r="C160" s="183"/>
      <c r="D160" s="185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>
      <c r="A161" s="183"/>
      <c r="B161" s="183"/>
      <c r="C161" s="183"/>
      <c r="D161" s="185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>
      <c r="A162" s="183"/>
      <c r="B162" s="183"/>
      <c r="C162" s="183"/>
      <c r="D162" s="185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>
      <c r="A163" s="183"/>
      <c r="B163" s="183"/>
      <c r="C163" s="183"/>
      <c r="D163" s="185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>
      <c r="A164" s="183"/>
      <c r="B164" s="183"/>
      <c r="C164" s="183"/>
      <c r="D164" s="185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>
      <c r="A165" s="183"/>
      <c r="B165" s="183"/>
      <c r="C165" s="183"/>
      <c r="D165" s="185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>
      <c r="A166" s="183"/>
      <c r="B166" s="183"/>
      <c r="C166" s="183"/>
      <c r="D166" s="185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>
      <c r="A167" s="183"/>
      <c r="B167" s="183"/>
      <c r="C167" s="183"/>
      <c r="D167" s="185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>
      <c r="A168" s="183"/>
      <c r="B168" s="183"/>
      <c r="C168" s="183"/>
      <c r="D168" s="185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>
      <c r="A169" s="183"/>
      <c r="B169" s="183"/>
      <c r="C169" s="183"/>
      <c r="D169" s="185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>
      <c r="A170" s="183"/>
      <c r="B170" s="183"/>
      <c r="C170" s="183"/>
      <c r="D170" s="185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>
      <c r="A171" s="183"/>
      <c r="B171" s="183"/>
      <c r="C171" s="183"/>
      <c r="D171" s="185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>
      <c r="A172" s="183"/>
      <c r="B172" s="183"/>
      <c r="C172" s="183"/>
      <c r="D172" s="185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>
      <c r="A173" s="183"/>
      <c r="B173" s="183"/>
      <c r="C173" s="183"/>
      <c r="D173" s="185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>
      <c r="A174" s="183"/>
      <c r="B174" s="183"/>
      <c r="C174" s="183"/>
      <c r="D174" s="185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>
      <c r="A175" s="183"/>
      <c r="B175" s="183"/>
      <c r="C175" s="183"/>
      <c r="D175" s="185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>
      <c r="A176" s="183"/>
      <c r="B176" s="183"/>
      <c r="C176" s="183"/>
      <c r="D176" s="185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>
      <c r="A177" s="183"/>
      <c r="B177" s="183"/>
      <c r="C177" s="183"/>
      <c r="D177" s="185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>
      <c r="A178" s="183"/>
      <c r="B178" s="183"/>
      <c r="C178" s="183"/>
      <c r="D178" s="185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>
      <c r="A179" s="183"/>
      <c r="B179" s="183"/>
      <c r="C179" s="183"/>
      <c r="D179" s="185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>
      <c r="A180" s="183"/>
      <c r="B180" s="183"/>
      <c r="C180" s="183"/>
      <c r="D180" s="185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>
      <c r="A181" s="183"/>
      <c r="B181" s="183"/>
      <c r="C181" s="183"/>
      <c r="D181" s="185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>
      <c r="A182" s="183"/>
      <c r="B182" s="183"/>
      <c r="C182" s="183"/>
      <c r="D182" s="185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>
      <c r="A183" s="183"/>
      <c r="B183" s="183"/>
      <c r="C183" s="183"/>
      <c r="D183" s="185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>
      <c r="A184" s="183"/>
      <c r="B184" s="183"/>
      <c r="C184" s="183"/>
      <c r="D184" s="185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>
      <c r="A185" s="183"/>
      <c r="B185" s="183"/>
      <c r="C185" s="183"/>
      <c r="D185" s="185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>
      <c r="A186" s="183"/>
      <c r="B186" s="183"/>
      <c r="C186" s="183"/>
      <c r="D186" s="185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>
      <c r="A187" s="183"/>
      <c r="B187" s="183"/>
      <c r="C187" s="183"/>
      <c r="D187" s="185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>
      <c r="A188" s="183"/>
      <c r="B188" s="183"/>
      <c r="C188" s="183"/>
      <c r="D188" s="185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>
      <c r="A189" s="183"/>
      <c r="B189" s="183"/>
      <c r="C189" s="183"/>
      <c r="D189" s="185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>
      <c r="A190" s="183"/>
      <c r="B190" s="183"/>
      <c r="C190" s="183"/>
      <c r="D190" s="185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>
      <c r="A191" s="183"/>
      <c r="B191" s="183"/>
      <c r="C191" s="183"/>
      <c r="D191" s="185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>
      <c r="A192" s="183"/>
      <c r="B192" s="183"/>
      <c r="C192" s="183"/>
      <c r="D192" s="185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>
      <c r="A193" s="183"/>
      <c r="B193" s="183"/>
      <c r="C193" s="183"/>
      <c r="D193" s="185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>
      <c r="A194" s="183"/>
      <c r="B194" s="183"/>
      <c r="C194" s="183"/>
      <c r="D194" s="185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>
      <c r="A195" s="183"/>
      <c r="B195" s="183"/>
      <c r="C195" s="183"/>
      <c r="D195" s="185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>
      <c r="A196" s="183"/>
      <c r="B196" s="183"/>
      <c r="C196" s="183"/>
      <c r="D196" s="185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>
      <c r="A197" s="183"/>
      <c r="B197" s="183"/>
      <c r="C197" s="183"/>
      <c r="D197" s="185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>
      <c r="A198" s="183"/>
      <c r="B198" s="183"/>
      <c r="C198" s="183"/>
      <c r="D198" s="185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>
      <c r="A199" s="183"/>
      <c r="B199" s="183"/>
      <c r="C199" s="183"/>
      <c r="D199" s="185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>
      <c r="A200" s="183"/>
      <c r="B200" s="183"/>
      <c r="C200" s="183"/>
      <c r="D200" s="185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>
      <c r="A201" s="183"/>
      <c r="B201" s="183"/>
      <c r="C201" s="183"/>
      <c r="D201" s="185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>
      <c r="A202" s="183"/>
      <c r="B202" s="183"/>
      <c r="C202" s="183"/>
      <c r="D202" s="185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>
      <c r="A203" s="183"/>
      <c r="B203" s="183"/>
      <c r="C203" s="183"/>
      <c r="D203" s="185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>
      <c r="A204" s="183"/>
      <c r="B204" s="183"/>
      <c r="C204" s="183"/>
      <c r="D204" s="185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>
      <c r="A205" s="183"/>
      <c r="B205" s="183"/>
      <c r="C205" s="183"/>
      <c r="D205" s="185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>
      <c r="A206" s="183"/>
      <c r="B206" s="183"/>
      <c r="C206" s="183"/>
      <c r="D206" s="185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>
      <c r="A207" s="183"/>
      <c r="B207" s="183"/>
      <c r="C207" s="183"/>
      <c r="D207" s="185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>
      <c r="A208" s="183"/>
      <c r="B208" s="183"/>
      <c r="C208" s="183"/>
      <c r="D208" s="185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>
      <c r="A209" s="183"/>
      <c r="B209" s="183"/>
      <c r="C209" s="183"/>
      <c r="D209" s="185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>
      <c r="A210" s="183"/>
      <c r="B210" s="183"/>
      <c r="C210" s="183"/>
      <c r="D210" s="185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>
      <c r="A211" s="183"/>
      <c r="B211" s="183"/>
      <c r="C211" s="183"/>
      <c r="D211" s="185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>
      <c r="A212" s="183"/>
      <c r="B212" s="183"/>
      <c r="C212" s="183"/>
      <c r="D212" s="185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>
      <c r="A213" s="183"/>
      <c r="B213" s="183"/>
      <c r="C213" s="183"/>
      <c r="D213" s="185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>
      <c r="A214" s="183"/>
      <c r="B214" s="183"/>
      <c r="C214" s="183"/>
      <c r="D214" s="185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>
      <c r="A215" s="183"/>
      <c r="B215" s="183"/>
      <c r="C215" s="183"/>
      <c r="D215" s="185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>
      <c r="A216" s="183"/>
      <c r="B216" s="183"/>
      <c r="C216" s="183"/>
      <c r="D216" s="185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>
      <c r="A217" s="183"/>
      <c r="B217" s="183"/>
      <c r="C217" s="183"/>
      <c r="D217" s="185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>
      <c r="A218" s="183"/>
      <c r="B218" s="183"/>
      <c r="C218" s="183"/>
      <c r="D218" s="185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>
      <c r="A219" s="183"/>
      <c r="B219" s="183"/>
      <c r="C219" s="183"/>
      <c r="D219" s="185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>
      <c r="A220" s="183"/>
      <c r="B220" s="183"/>
      <c r="C220" s="183"/>
      <c r="D220" s="185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>
      <c r="A221" s="183"/>
      <c r="B221" s="183"/>
      <c r="C221" s="183"/>
      <c r="D221" s="185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>
      <c r="A222" s="183"/>
      <c r="B222" s="183"/>
      <c r="C222" s="183"/>
      <c r="D222" s="185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>
      <c r="A223" s="183"/>
      <c r="B223" s="183"/>
      <c r="C223" s="183"/>
      <c r="D223" s="185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>
      <c r="A224" s="183"/>
      <c r="B224" s="183"/>
      <c r="C224" s="183"/>
      <c r="D224" s="185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>
      <c r="A225" s="183"/>
      <c r="B225" s="183"/>
      <c r="C225" s="183"/>
      <c r="D225" s="185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>
      <c r="A226" s="183"/>
      <c r="B226" s="183"/>
      <c r="C226" s="183"/>
      <c r="D226" s="185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>
      <c r="A227" s="183"/>
      <c r="B227" s="183"/>
      <c r="C227" s="183"/>
      <c r="D227" s="185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>
      <c r="A228" s="183"/>
      <c r="B228" s="183"/>
      <c r="C228" s="183"/>
      <c r="D228" s="185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>
      <c r="A229" s="183"/>
      <c r="B229" s="183"/>
      <c r="C229" s="183"/>
      <c r="D229" s="185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>
      <c r="A230" s="183"/>
      <c r="B230" s="183"/>
      <c r="C230" s="183"/>
      <c r="D230" s="185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>
      <c r="A231" s="183"/>
      <c r="B231" s="183"/>
      <c r="C231" s="183"/>
      <c r="D231" s="185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>
      <c r="A232" s="183"/>
      <c r="B232" s="183"/>
      <c r="C232" s="183"/>
      <c r="D232" s="185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>
      <c r="A233" s="183"/>
      <c r="B233" s="183"/>
      <c r="C233" s="183"/>
      <c r="D233" s="185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>
      <c r="A234" s="183"/>
      <c r="B234" s="183"/>
      <c r="C234" s="183"/>
      <c r="D234" s="185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>
      <c r="A235" s="183"/>
      <c r="B235" s="183"/>
      <c r="C235" s="183"/>
      <c r="D235" s="185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>
      <c r="A236" s="183"/>
      <c r="B236" s="183"/>
      <c r="C236" s="183"/>
      <c r="D236" s="185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>
      <c r="A237" s="183"/>
      <c r="B237" s="183"/>
      <c r="C237" s="183"/>
      <c r="D237" s="185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>
      <c r="A238" s="183"/>
      <c r="B238" s="183"/>
      <c r="C238" s="183"/>
      <c r="D238" s="185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>
      <c r="A239" s="183"/>
      <c r="B239" s="183"/>
      <c r="C239" s="183"/>
      <c r="D239" s="185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>
      <c r="A240" s="183"/>
      <c r="B240" s="183"/>
      <c r="C240" s="183"/>
      <c r="D240" s="185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>
      <c r="A241" s="183"/>
      <c r="B241" s="183"/>
      <c r="C241" s="183"/>
      <c r="D241" s="185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>
      <c r="A242" s="183"/>
      <c r="B242" s="183"/>
      <c r="C242" s="183"/>
      <c r="D242" s="185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>
      <c r="A243" s="183"/>
      <c r="B243" s="183"/>
      <c r="C243" s="183"/>
      <c r="D243" s="185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>
      <c r="A244" s="183"/>
      <c r="B244" s="183"/>
      <c r="C244" s="183"/>
      <c r="D244" s="185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>
      <c r="A245" s="183"/>
      <c r="B245" s="183"/>
      <c r="C245" s="183"/>
      <c r="D245" s="185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>
      <c r="A246" s="183"/>
      <c r="B246" s="183"/>
      <c r="C246" s="183"/>
      <c r="D246" s="185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>
      <c r="A247" s="183"/>
      <c r="B247" s="183"/>
      <c r="C247" s="183"/>
      <c r="D247" s="185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>
      <c r="A248" s="183"/>
      <c r="B248" s="183"/>
      <c r="C248" s="183"/>
      <c r="D248" s="185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>
      <c r="A249" s="183"/>
      <c r="B249" s="183"/>
      <c r="C249" s="183"/>
      <c r="D249" s="185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>
      <c r="A250" s="183"/>
      <c r="B250" s="183"/>
      <c r="C250" s="183"/>
      <c r="D250" s="185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>
      <c r="A251" s="183"/>
      <c r="B251" s="183"/>
      <c r="C251" s="183"/>
      <c r="D251" s="185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>
      <c r="A252" s="183"/>
      <c r="B252" s="183"/>
      <c r="C252" s="183"/>
      <c r="D252" s="185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>
      <c r="A253" s="183"/>
      <c r="B253" s="183"/>
      <c r="C253" s="183"/>
      <c r="D253" s="185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>
      <c r="A254" s="183"/>
      <c r="B254" s="183"/>
      <c r="C254" s="183"/>
      <c r="D254" s="185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>
      <c r="A255" s="183"/>
      <c r="B255" s="183"/>
      <c r="C255" s="183"/>
      <c r="D255" s="185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>
      <c r="A256" s="183"/>
      <c r="B256" s="183"/>
      <c r="C256" s="183"/>
      <c r="D256" s="185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>
      <c r="A257" s="183"/>
      <c r="B257" s="183"/>
      <c r="C257" s="183"/>
      <c r="D257" s="185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>
      <c r="A258" s="183"/>
      <c r="B258" s="183"/>
      <c r="C258" s="183"/>
      <c r="D258" s="185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>
      <c r="A259" s="183"/>
      <c r="B259" s="183"/>
      <c r="C259" s="183"/>
      <c r="D259" s="185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>
      <c r="A260" s="183"/>
      <c r="B260" s="183"/>
      <c r="C260" s="183"/>
      <c r="D260" s="185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>
      <c r="A261" s="183"/>
      <c r="B261" s="183"/>
      <c r="C261" s="183"/>
      <c r="D261" s="185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>
      <c r="A262" s="183"/>
      <c r="B262" s="183"/>
      <c r="C262" s="183"/>
      <c r="D262" s="185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>
      <c r="A263" s="183"/>
      <c r="B263" s="183"/>
      <c r="C263" s="183"/>
      <c r="D263" s="185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>
      <c r="A264" s="183"/>
      <c r="B264" s="183"/>
      <c r="C264" s="183"/>
      <c r="D264" s="185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>
      <c r="A265" s="183"/>
      <c r="B265" s="183"/>
      <c r="C265" s="183"/>
      <c r="D265" s="185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>
      <c r="A266" s="183"/>
      <c r="B266" s="183"/>
      <c r="C266" s="183"/>
      <c r="D266" s="185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>
      <c r="A267" s="183"/>
      <c r="B267" s="183"/>
      <c r="C267" s="183"/>
      <c r="D267" s="185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>
      <c r="A268" s="183"/>
      <c r="B268" s="183"/>
      <c r="C268" s="183"/>
      <c r="D268" s="185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>
      <c r="A269" s="183"/>
      <c r="B269" s="183"/>
      <c r="C269" s="183"/>
      <c r="D269" s="185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>
      <c r="A270" s="183"/>
      <c r="B270" s="183"/>
      <c r="C270" s="183"/>
      <c r="D270" s="185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>
      <c r="A271" s="183"/>
      <c r="B271" s="183"/>
      <c r="C271" s="183"/>
      <c r="D271" s="185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>
      <c r="A272" s="183"/>
      <c r="B272" s="183"/>
      <c r="C272" s="183"/>
      <c r="D272" s="185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>
      <c r="A273" s="183"/>
      <c r="B273" s="183"/>
      <c r="C273" s="183"/>
      <c r="D273" s="185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>
      <c r="A274" s="183"/>
      <c r="B274" s="183"/>
      <c r="C274" s="183"/>
      <c r="D274" s="185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>
      <c r="A275" s="183"/>
      <c r="B275" s="183"/>
      <c r="C275" s="183"/>
      <c r="D275" s="185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>
      <c r="A276" s="183"/>
      <c r="B276" s="183"/>
      <c r="C276" s="183"/>
      <c r="D276" s="185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>
      <c r="A277" s="183"/>
      <c r="B277" s="183"/>
      <c r="C277" s="183"/>
      <c r="D277" s="185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>
      <c r="A278" s="183"/>
      <c r="B278" s="183"/>
      <c r="C278" s="183"/>
      <c r="D278" s="185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>
      <c r="A279" s="183"/>
      <c r="B279" s="183"/>
      <c r="C279" s="183"/>
      <c r="D279" s="185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>
      <c r="A280" s="183"/>
      <c r="B280" s="183"/>
      <c r="C280" s="183"/>
      <c r="D280" s="185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>
      <c r="A281" s="183"/>
      <c r="B281" s="183"/>
      <c r="C281" s="183"/>
      <c r="D281" s="185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>
      <c r="A282" s="183"/>
      <c r="B282" s="183"/>
      <c r="C282" s="183"/>
      <c r="D282" s="185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>
      <c r="A283" s="183"/>
      <c r="B283" s="183"/>
      <c r="C283" s="183"/>
      <c r="D283" s="185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>
      <c r="A284" s="183"/>
      <c r="B284" s="183"/>
      <c r="C284" s="183"/>
      <c r="D284" s="185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>
      <c r="A285" s="183"/>
      <c r="B285" s="183"/>
      <c r="C285" s="183"/>
      <c r="D285" s="185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>
      <c r="A286" s="183"/>
      <c r="B286" s="183"/>
      <c r="C286" s="183"/>
      <c r="D286" s="185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>
      <c r="A287" s="183"/>
      <c r="B287" s="183"/>
      <c r="C287" s="183"/>
      <c r="D287" s="185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>
      <c r="A288" s="183"/>
      <c r="B288" s="183"/>
      <c r="C288" s="183"/>
      <c r="D288" s="185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>
      <c r="A289" s="183"/>
      <c r="B289" s="183"/>
      <c r="C289" s="183"/>
      <c r="D289" s="185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>
      <c r="A290" s="183"/>
      <c r="B290" s="183"/>
      <c r="C290" s="183"/>
      <c r="D290" s="185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>
      <c r="A291" s="183"/>
      <c r="B291" s="183"/>
      <c r="C291" s="183"/>
      <c r="D291" s="185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>
      <c r="A292" s="183"/>
      <c r="B292" s="183"/>
      <c r="C292" s="183"/>
      <c r="D292" s="185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>
      <c r="A293" s="183"/>
      <c r="B293" s="183"/>
      <c r="C293" s="183"/>
      <c r="D293" s="185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>
      <c r="A294" s="183"/>
      <c r="B294" s="183"/>
      <c r="C294" s="183"/>
      <c r="D294" s="185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>
      <c r="A295" s="183"/>
      <c r="B295" s="183"/>
      <c r="C295" s="183"/>
      <c r="D295" s="185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>
      <c r="A296" s="183"/>
      <c r="B296" s="183"/>
      <c r="C296" s="183"/>
      <c r="D296" s="185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>
      <c r="A297" s="183"/>
      <c r="B297" s="183"/>
      <c r="C297" s="183"/>
      <c r="D297" s="185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>
      <c r="A298" s="183"/>
      <c r="B298" s="183"/>
      <c r="C298" s="183"/>
      <c r="D298" s="185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>
      <c r="A299" s="183"/>
      <c r="B299" s="183"/>
      <c r="C299" s="183"/>
      <c r="D299" s="185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>
      <c r="A300" s="183"/>
      <c r="B300" s="183"/>
      <c r="C300" s="183"/>
      <c r="D300" s="185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>
      <c r="A301" s="183"/>
      <c r="B301" s="183"/>
      <c r="C301" s="183"/>
      <c r="D301" s="185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>
      <c r="A302" s="183"/>
      <c r="B302" s="183"/>
      <c r="C302" s="183"/>
      <c r="D302" s="185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>
      <c r="A303" s="183"/>
      <c r="B303" s="183"/>
      <c r="C303" s="183"/>
      <c r="D303" s="185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>
      <c r="A304" s="183"/>
      <c r="B304" s="183"/>
      <c r="C304" s="183"/>
      <c r="D304" s="185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>
      <c r="A305" s="183"/>
      <c r="B305" s="183"/>
      <c r="C305" s="183"/>
      <c r="D305" s="185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>
      <c r="A306" s="183"/>
      <c r="B306" s="183"/>
      <c r="C306" s="183"/>
      <c r="D306" s="185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>
      <c r="A307" s="183"/>
      <c r="B307" s="183"/>
      <c r="C307" s="183"/>
      <c r="D307" s="185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>
      <c r="A308" s="183"/>
      <c r="B308" s="183"/>
      <c r="C308" s="183"/>
      <c r="D308" s="185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>
      <c r="A309" s="183"/>
      <c r="B309" s="183"/>
      <c r="C309" s="183"/>
      <c r="D309" s="185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>
      <c r="A310" s="183"/>
      <c r="B310" s="183"/>
      <c r="C310" s="183"/>
      <c r="D310" s="185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>
      <c r="A311" s="183"/>
      <c r="B311" s="183"/>
      <c r="C311" s="183"/>
      <c r="D311" s="185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>
      <c r="A312" s="183"/>
      <c r="B312" s="183"/>
      <c r="C312" s="183"/>
      <c r="D312" s="185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>
      <c r="A313" s="183"/>
      <c r="B313" s="183"/>
      <c r="C313" s="183"/>
      <c r="D313" s="185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>
      <c r="A314" s="183"/>
      <c r="B314" s="183"/>
      <c r="C314" s="183"/>
      <c r="D314" s="185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>
      <c r="A315" s="183"/>
      <c r="B315" s="183"/>
      <c r="C315" s="183"/>
      <c r="D315" s="185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>
      <c r="A316" s="183"/>
      <c r="B316" s="183"/>
      <c r="C316" s="183"/>
      <c r="D316" s="185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>
      <c r="A317" s="183"/>
      <c r="B317" s="183"/>
      <c r="C317" s="183"/>
      <c r="D317" s="185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>
      <c r="A318" s="183"/>
      <c r="B318" s="183"/>
      <c r="C318" s="183"/>
      <c r="D318" s="185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>
      <c r="A319" s="183"/>
      <c r="B319" s="183"/>
      <c r="C319" s="183"/>
      <c r="D319" s="185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>
      <c r="A320" s="183"/>
      <c r="B320" s="183"/>
      <c r="C320" s="183"/>
      <c r="D320" s="185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>
      <c r="A321" s="183"/>
      <c r="B321" s="183"/>
      <c r="C321" s="183"/>
      <c r="D321" s="185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>
      <c r="A322" s="183"/>
      <c r="B322" s="183"/>
      <c r="C322" s="183"/>
      <c r="D322" s="185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>
      <c r="A323" s="183"/>
      <c r="B323" s="183"/>
      <c r="C323" s="183"/>
      <c r="D323" s="185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>
      <c r="A324" s="183"/>
      <c r="B324" s="183"/>
      <c r="C324" s="183"/>
      <c r="D324" s="185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>
      <c r="A325" s="183"/>
      <c r="B325" s="183"/>
      <c r="C325" s="183"/>
      <c r="D325" s="185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>
      <c r="A326" s="183"/>
      <c r="B326" s="183"/>
      <c r="C326" s="183"/>
      <c r="D326" s="185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>
      <c r="A327" s="183"/>
      <c r="B327" s="183"/>
      <c r="C327" s="183"/>
      <c r="D327" s="185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>
      <c r="A328" s="183"/>
      <c r="B328" s="183"/>
      <c r="C328" s="183"/>
      <c r="D328" s="185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>
      <c r="A329" s="183"/>
      <c r="B329" s="183"/>
      <c r="C329" s="183"/>
      <c r="D329" s="185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>
      <c r="A330" s="183"/>
      <c r="B330" s="183"/>
      <c r="C330" s="183"/>
      <c r="D330" s="185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>
      <c r="A331" s="183"/>
      <c r="B331" s="183"/>
      <c r="C331" s="183"/>
      <c r="D331" s="185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>
      <c r="A332" s="183"/>
      <c r="B332" s="183"/>
      <c r="C332" s="183"/>
      <c r="D332" s="185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>
      <c r="A333" s="183"/>
      <c r="B333" s="183"/>
      <c r="C333" s="183"/>
      <c r="D333" s="185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>
      <c r="A334" s="183"/>
      <c r="B334" s="183"/>
      <c r="C334" s="183"/>
      <c r="D334" s="185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>
      <c r="A335" s="183"/>
      <c r="B335" s="183"/>
      <c r="C335" s="183"/>
      <c r="D335" s="185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>
      <c r="A336" s="183"/>
      <c r="B336" s="183"/>
      <c r="C336" s="183"/>
      <c r="D336" s="185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>
      <c r="A337" s="183"/>
      <c r="B337" s="183"/>
      <c r="C337" s="183"/>
      <c r="D337" s="185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>
      <c r="A338" s="183"/>
      <c r="B338" s="183"/>
      <c r="C338" s="183"/>
      <c r="D338" s="185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>
      <c r="A339" s="183"/>
      <c r="B339" s="183"/>
      <c r="C339" s="183"/>
      <c r="D339" s="185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>
      <c r="A340" s="183"/>
      <c r="B340" s="183"/>
      <c r="C340" s="183"/>
      <c r="D340" s="185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>
      <c r="A341" s="183"/>
      <c r="B341" s="183"/>
      <c r="C341" s="183"/>
      <c r="D341" s="185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>
      <c r="A342" s="183"/>
      <c r="B342" s="183"/>
      <c r="C342" s="183"/>
      <c r="D342" s="185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>
      <c r="A343" s="183"/>
      <c r="B343" s="183"/>
      <c r="C343" s="183"/>
      <c r="D343" s="185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>
      <c r="A344" s="183"/>
      <c r="B344" s="183"/>
      <c r="C344" s="183"/>
      <c r="D344" s="185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>
      <c r="A345" s="183"/>
      <c r="B345" s="183"/>
      <c r="C345" s="183"/>
      <c r="D345" s="185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>
      <c r="A346" s="183"/>
      <c r="B346" s="183"/>
      <c r="C346" s="183"/>
      <c r="D346" s="185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>
      <c r="A347" s="183"/>
      <c r="B347" s="183"/>
      <c r="C347" s="183"/>
      <c r="D347" s="185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>
      <c r="A348" s="183"/>
      <c r="B348" s="183"/>
      <c r="C348" s="183"/>
      <c r="D348" s="185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>
      <c r="A349" s="183"/>
      <c r="B349" s="183"/>
      <c r="C349" s="183"/>
      <c r="D349" s="185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>
      <c r="A350" s="183"/>
      <c r="B350" s="183"/>
      <c r="C350" s="183"/>
      <c r="D350" s="185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>
      <c r="A351" s="183"/>
      <c r="B351" s="183"/>
      <c r="C351" s="183"/>
      <c r="D351" s="185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>
      <c r="A352" s="183"/>
      <c r="B352" s="183"/>
      <c r="C352" s="183"/>
      <c r="D352" s="185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>
      <c r="A353" s="183"/>
      <c r="B353" s="183"/>
      <c r="C353" s="183"/>
      <c r="D353" s="185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>
      <c r="A354" s="183"/>
      <c r="B354" s="183"/>
      <c r="C354" s="183"/>
      <c r="D354" s="185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>
      <c r="A355" s="183"/>
      <c r="B355" s="183"/>
      <c r="C355" s="183"/>
      <c r="D355" s="185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>
      <c r="A356" s="183"/>
      <c r="B356" s="183"/>
      <c r="C356" s="183"/>
      <c r="D356" s="185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>
      <c r="A357" s="183"/>
      <c r="B357" s="183"/>
      <c r="C357" s="183"/>
      <c r="D357" s="185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>
      <c r="A358" s="183"/>
      <c r="B358" s="183"/>
      <c r="C358" s="183"/>
      <c r="D358" s="185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>
      <c r="A359" s="183"/>
      <c r="B359" s="183"/>
      <c r="C359" s="183"/>
      <c r="D359" s="185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>
      <c r="A360" s="183"/>
      <c r="B360" s="183"/>
      <c r="C360" s="183"/>
      <c r="D360" s="185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>
      <c r="A361" s="183"/>
      <c r="B361" s="183"/>
      <c r="C361" s="183"/>
      <c r="D361" s="185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>
      <c r="A362" s="183"/>
      <c r="B362" s="183"/>
      <c r="C362" s="183"/>
      <c r="D362" s="185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>
      <c r="A363" s="183"/>
      <c r="B363" s="183"/>
      <c r="C363" s="183"/>
      <c r="D363" s="185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>
      <c r="A364" s="183"/>
      <c r="B364" s="183"/>
      <c r="C364" s="183"/>
      <c r="D364" s="185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>
      <c r="A365" s="183"/>
      <c r="B365" s="183"/>
      <c r="C365" s="183"/>
      <c r="D365" s="185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>
      <c r="A366" s="183"/>
      <c r="B366" s="183"/>
      <c r="C366" s="183"/>
      <c r="D366" s="185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>
      <c r="A367" s="183"/>
      <c r="B367" s="183"/>
      <c r="C367" s="183"/>
      <c r="D367" s="185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>
      <c r="A368" s="183"/>
      <c r="B368" s="183"/>
      <c r="C368" s="183"/>
      <c r="D368" s="185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>
      <c r="A369" s="183"/>
      <c r="B369" s="183"/>
      <c r="C369" s="183"/>
      <c r="D369" s="185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>
      <c r="A370" s="183"/>
      <c r="B370" s="183"/>
      <c r="C370" s="183"/>
      <c r="D370" s="185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>
      <c r="A371" s="183"/>
      <c r="B371" s="183"/>
      <c r="C371" s="183"/>
      <c r="D371" s="185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>
      <c r="A372" s="183"/>
      <c r="B372" s="183"/>
      <c r="C372" s="183"/>
      <c r="D372" s="185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>
      <c r="A373" s="183"/>
      <c r="B373" s="183"/>
      <c r="C373" s="183"/>
      <c r="D373" s="185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>
      <c r="A374" s="183"/>
      <c r="B374" s="183"/>
      <c r="C374" s="183"/>
      <c r="D374" s="185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>
      <c r="A375" s="183"/>
      <c r="B375" s="183"/>
      <c r="C375" s="183"/>
      <c r="D375" s="185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>
      <c r="A376" s="183"/>
      <c r="B376" s="183"/>
      <c r="C376" s="183"/>
      <c r="D376" s="185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>
      <c r="A377" s="183"/>
      <c r="B377" s="183"/>
      <c r="C377" s="183"/>
      <c r="D377" s="185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>
      <c r="A378" s="183"/>
      <c r="B378" s="183"/>
      <c r="C378" s="183"/>
      <c r="D378" s="185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>
      <c r="A379" s="183"/>
      <c r="B379" s="183"/>
      <c r="C379" s="183"/>
      <c r="D379" s="185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>
      <c r="A380" s="183"/>
      <c r="B380" s="183"/>
      <c r="C380" s="183"/>
      <c r="D380" s="185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>
      <c r="A381" s="183"/>
      <c r="B381" s="183"/>
      <c r="C381" s="183"/>
      <c r="D381" s="185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>
      <c r="A382" s="183"/>
      <c r="B382" s="183"/>
      <c r="C382" s="183"/>
      <c r="D382" s="185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>
      <c r="A383" s="183"/>
      <c r="B383" s="183"/>
      <c r="C383" s="183"/>
      <c r="D383" s="185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>
      <c r="A384" s="183"/>
      <c r="B384" s="183"/>
      <c r="C384" s="183"/>
      <c r="D384" s="185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>
      <c r="A385" s="183"/>
      <c r="B385" s="183"/>
      <c r="C385" s="183"/>
      <c r="D385" s="185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>
      <c r="A386" s="183"/>
      <c r="B386" s="183"/>
      <c r="C386" s="183"/>
      <c r="D386" s="185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>
      <c r="A387" s="183"/>
      <c r="B387" s="183"/>
      <c r="C387" s="183"/>
      <c r="D387" s="185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>
      <c r="A388" s="183"/>
      <c r="B388" s="183"/>
      <c r="C388" s="183"/>
      <c r="D388" s="185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>
      <c r="A389" s="183"/>
      <c r="B389" s="183"/>
      <c r="C389" s="183"/>
      <c r="D389" s="185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>
      <c r="A390" s="183"/>
      <c r="B390" s="183"/>
      <c r="C390" s="183"/>
      <c r="D390" s="185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>
      <c r="A391" s="183"/>
      <c r="B391" s="183"/>
      <c r="C391" s="183"/>
      <c r="D391" s="185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>
      <c r="A392" s="183"/>
      <c r="B392" s="183"/>
      <c r="C392" s="183"/>
      <c r="D392" s="185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>
      <c r="A393" s="183"/>
      <c r="B393" s="183"/>
      <c r="C393" s="183"/>
      <c r="D393" s="185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>
      <c r="A394" s="183"/>
      <c r="B394" s="183"/>
      <c r="C394" s="183"/>
      <c r="D394" s="185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>
      <c r="A395" s="183"/>
      <c r="B395" s="183"/>
      <c r="C395" s="183"/>
      <c r="D395" s="185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>
      <c r="A396" s="183"/>
      <c r="B396" s="183"/>
      <c r="C396" s="183"/>
      <c r="D396" s="185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>
      <c r="A397" s="183"/>
      <c r="B397" s="183"/>
      <c r="C397" s="183"/>
      <c r="D397" s="185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>
      <c r="A398" s="183"/>
      <c r="B398" s="183"/>
      <c r="C398" s="183"/>
      <c r="D398" s="185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>
      <c r="A399" s="183"/>
      <c r="B399" s="183"/>
      <c r="C399" s="183"/>
      <c r="D399" s="185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>
      <c r="A400" s="183"/>
      <c r="B400" s="183"/>
      <c r="C400" s="183"/>
      <c r="D400" s="185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>
      <c r="A401" s="183"/>
      <c r="B401" s="183"/>
      <c r="C401" s="183"/>
      <c r="D401" s="185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>
      <c r="A402" s="183"/>
      <c r="B402" s="183"/>
      <c r="C402" s="183"/>
      <c r="D402" s="185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>
      <c r="A403" s="183"/>
      <c r="B403" s="183"/>
      <c r="C403" s="183"/>
      <c r="D403" s="185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>
      <c r="A404" s="183"/>
      <c r="B404" s="183"/>
      <c r="C404" s="183"/>
      <c r="D404" s="185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>
      <c r="A405" s="183"/>
      <c r="B405" s="183"/>
      <c r="C405" s="183"/>
      <c r="D405" s="185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>
      <c r="A406" s="183"/>
      <c r="B406" s="183"/>
      <c r="C406" s="183"/>
      <c r="D406" s="185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>
      <c r="A407" s="183"/>
      <c r="B407" s="183"/>
      <c r="C407" s="183"/>
      <c r="D407" s="185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>
      <c r="A408" s="183"/>
      <c r="B408" s="183"/>
      <c r="C408" s="183"/>
      <c r="D408" s="185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>
      <c r="A409" s="183"/>
      <c r="B409" s="183"/>
      <c r="C409" s="183"/>
      <c r="D409" s="185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>
      <c r="A410" s="183"/>
      <c r="B410" s="183"/>
      <c r="C410" s="183"/>
      <c r="D410" s="185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>
      <c r="A411" s="183"/>
      <c r="B411" s="183"/>
      <c r="C411" s="183"/>
      <c r="D411" s="185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>
      <c r="A412" s="183"/>
      <c r="B412" s="183"/>
      <c r="C412" s="183"/>
      <c r="D412" s="185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>
      <c r="A413" s="183"/>
      <c r="B413" s="183"/>
      <c r="C413" s="183"/>
      <c r="D413" s="185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>
      <c r="A414" s="183"/>
      <c r="B414" s="183"/>
      <c r="C414" s="183"/>
      <c r="D414" s="185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>
      <c r="A415" s="183"/>
      <c r="B415" s="183"/>
      <c r="C415" s="183"/>
      <c r="D415" s="185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>
      <c r="A416" s="183"/>
      <c r="B416" s="183"/>
      <c r="C416" s="183"/>
      <c r="D416" s="185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>
      <c r="A417" s="183"/>
      <c r="B417" s="183"/>
      <c r="C417" s="183"/>
      <c r="D417" s="185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>
      <c r="A418" s="183"/>
      <c r="B418" s="183"/>
      <c r="C418" s="183"/>
      <c r="D418" s="185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>
      <c r="A419" s="183"/>
      <c r="B419" s="183"/>
      <c r="C419" s="183"/>
      <c r="D419" s="185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>
      <c r="A420" s="183"/>
      <c r="B420" s="183"/>
      <c r="C420" s="183"/>
      <c r="D420" s="185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>
      <c r="A421" s="183"/>
      <c r="B421" s="183"/>
      <c r="C421" s="183"/>
      <c r="D421" s="185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>
      <c r="A422" s="183"/>
      <c r="B422" s="183"/>
      <c r="C422" s="183"/>
      <c r="D422" s="185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>
      <c r="A423" s="183"/>
      <c r="B423" s="183"/>
      <c r="C423" s="183"/>
      <c r="D423" s="185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>
      <c r="A424" s="183"/>
      <c r="B424" s="183"/>
      <c r="C424" s="183"/>
      <c r="D424" s="185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>
      <c r="A425" s="183"/>
      <c r="B425" s="183"/>
      <c r="C425" s="183"/>
      <c r="D425" s="185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>
      <c r="A426" s="183"/>
      <c r="B426" s="183"/>
      <c r="C426" s="183"/>
      <c r="D426" s="185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>
      <c r="A427" s="183"/>
      <c r="B427" s="183"/>
      <c r="C427" s="183"/>
      <c r="D427" s="185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>
      <c r="A428" s="183"/>
      <c r="B428" s="183"/>
      <c r="C428" s="183"/>
      <c r="D428" s="185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>
      <c r="A429" s="183"/>
      <c r="B429" s="183"/>
      <c r="C429" s="183"/>
      <c r="D429" s="185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>
      <c r="A430" s="183"/>
      <c r="B430" s="183"/>
      <c r="C430" s="183"/>
      <c r="D430" s="185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>
      <c r="A431" s="183"/>
      <c r="B431" s="183"/>
      <c r="C431" s="183"/>
      <c r="D431" s="185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>
      <c r="A432" s="183"/>
      <c r="B432" s="183"/>
      <c r="C432" s="183"/>
      <c r="D432" s="185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>
      <c r="A433" s="183"/>
      <c r="B433" s="183"/>
      <c r="C433" s="183"/>
      <c r="D433" s="185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>
      <c r="A434" s="183"/>
      <c r="B434" s="183"/>
      <c r="C434" s="183"/>
      <c r="D434" s="185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>
      <c r="A435" s="183"/>
      <c r="B435" s="183"/>
      <c r="C435" s="183"/>
      <c r="D435" s="185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>
      <c r="A436" s="183"/>
      <c r="B436" s="183"/>
      <c r="C436" s="183"/>
      <c r="D436" s="185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>
      <c r="A437" s="183"/>
      <c r="B437" s="183"/>
      <c r="C437" s="183"/>
      <c r="D437" s="185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>
      <c r="A438" s="183"/>
      <c r="B438" s="183"/>
      <c r="C438" s="183"/>
      <c r="D438" s="185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>
      <c r="A439" s="183"/>
      <c r="B439" s="183"/>
      <c r="C439" s="183"/>
      <c r="D439" s="185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>
      <c r="A440" s="183"/>
      <c r="B440" s="183"/>
      <c r="C440" s="183"/>
      <c r="D440" s="185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>
      <c r="A441" s="183"/>
      <c r="B441" s="183"/>
      <c r="C441" s="183"/>
      <c r="D441" s="185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>
      <c r="A442" s="183"/>
      <c r="B442" s="183"/>
      <c r="C442" s="183"/>
      <c r="D442" s="185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>
      <c r="A443" s="183"/>
      <c r="B443" s="183"/>
      <c r="C443" s="183"/>
      <c r="D443" s="185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>
      <c r="A444" s="183"/>
      <c r="B444" s="183"/>
      <c r="C444" s="183"/>
      <c r="D444" s="185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>
      <c r="A445" s="183"/>
      <c r="B445" s="183"/>
      <c r="C445" s="183"/>
      <c r="D445" s="185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>
      <c r="A446" s="183"/>
      <c r="B446" s="183"/>
      <c r="C446" s="183"/>
      <c r="D446" s="185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>
      <c r="A447" s="183"/>
      <c r="B447" s="183"/>
      <c r="C447" s="183"/>
      <c r="D447" s="185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>
      <c r="A448" s="183"/>
      <c r="B448" s="183"/>
      <c r="C448" s="183"/>
      <c r="D448" s="185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>
      <c r="A449" s="183"/>
      <c r="B449" s="183"/>
      <c r="C449" s="183"/>
      <c r="D449" s="185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>
      <c r="A450" s="183"/>
      <c r="B450" s="183"/>
      <c r="C450" s="183"/>
      <c r="D450" s="185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>
      <c r="A451" s="183"/>
      <c r="B451" s="183"/>
      <c r="C451" s="183"/>
      <c r="D451" s="185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>
      <c r="A452" s="183"/>
      <c r="B452" s="183"/>
      <c r="C452" s="183"/>
      <c r="D452" s="185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>
      <c r="A453" s="183"/>
      <c r="B453" s="183"/>
      <c r="C453" s="183"/>
      <c r="D453" s="185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>
      <c r="A454" s="183"/>
      <c r="B454" s="183"/>
      <c r="C454" s="183"/>
      <c r="D454" s="185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>
      <c r="A455" s="183"/>
      <c r="B455" s="183"/>
      <c r="C455" s="183"/>
      <c r="D455" s="185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>
      <c r="A456" s="183"/>
      <c r="B456" s="183"/>
      <c r="C456" s="183"/>
      <c r="D456" s="185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>
      <c r="A457" s="183"/>
      <c r="B457" s="183"/>
      <c r="C457" s="183"/>
      <c r="D457" s="185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>
      <c r="A458" s="183"/>
      <c r="B458" s="183"/>
      <c r="C458" s="183"/>
      <c r="D458" s="185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>
      <c r="A459" s="183"/>
      <c r="B459" s="183"/>
      <c r="C459" s="183"/>
      <c r="D459" s="185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>
      <c r="A460" s="183"/>
      <c r="B460" s="183"/>
      <c r="C460" s="183"/>
      <c r="D460" s="185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>
      <c r="A461" s="183"/>
      <c r="B461" s="183"/>
      <c r="C461" s="183"/>
      <c r="D461" s="185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>
      <c r="A462" s="183"/>
      <c r="B462" s="183"/>
      <c r="C462" s="183"/>
      <c r="D462" s="185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>
      <c r="A463" s="183"/>
      <c r="B463" s="183"/>
      <c r="C463" s="183"/>
      <c r="D463" s="185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>
      <c r="A464" s="183"/>
      <c r="B464" s="183"/>
      <c r="C464" s="183"/>
      <c r="D464" s="185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>
      <c r="A465" s="183"/>
      <c r="B465" s="183"/>
      <c r="C465" s="183"/>
      <c r="D465" s="185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>
      <c r="A466" s="183"/>
      <c r="B466" s="183"/>
      <c r="C466" s="183"/>
      <c r="D466" s="185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>
      <c r="A467" s="183"/>
      <c r="B467" s="183"/>
      <c r="C467" s="183"/>
      <c r="D467" s="185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>
      <c r="A468" s="183"/>
      <c r="B468" s="183"/>
      <c r="C468" s="183"/>
      <c r="D468" s="185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>
      <c r="A469" s="183"/>
      <c r="B469" s="183"/>
      <c r="C469" s="183"/>
      <c r="D469" s="185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>
      <c r="A470" s="183"/>
      <c r="B470" s="183"/>
      <c r="C470" s="183"/>
      <c r="D470" s="185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>
      <c r="A471" s="183"/>
      <c r="B471" s="183"/>
      <c r="C471" s="183"/>
      <c r="D471" s="185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>
      <c r="A472" s="183"/>
      <c r="B472" s="183"/>
      <c r="C472" s="183"/>
      <c r="D472" s="185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>
      <c r="A473" s="183"/>
      <c r="B473" s="183"/>
      <c r="C473" s="183"/>
      <c r="D473" s="185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>
      <c r="A474" s="183"/>
      <c r="B474" s="183"/>
      <c r="C474" s="183"/>
      <c r="D474" s="185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>
      <c r="A475" s="183"/>
      <c r="B475" s="183"/>
      <c r="C475" s="183"/>
      <c r="D475" s="185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>
      <c r="A476" s="183"/>
      <c r="B476" s="183"/>
      <c r="C476" s="183"/>
      <c r="D476" s="185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>
      <c r="A477" s="183"/>
      <c r="B477" s="183"/>
      <c r="C477" s="183"/>
      <c r="D477" s="185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>
      <c r="A478" s="183"/>
      <c r="B478" s="183"/>
      <c r="C478" s="183"/>
      <c r="D478" s="185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>
      <c r="A479" s="183"/>
      <c r="B479" s="183"/>
      <c r="C479" s="183"/>
      <c r="D479" s="185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>
      <c r="A480" s="183"/>
      <c r="B480" s="183"/>
      <c r="C480" s="183"/>
      <c r="D480" s="185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>
      <c r="A481" s="183"/>
      <c r="B481" s="183"/>
      <c r="C481" s="183"/>
      <c r="D481" s="185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>
      <c r="A482" s="183"/>
      <c r="B482" s="183"/>
      <c r="C482" s="183"/>
      <c r="D482" s="185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>
      <c r="A483" s="183"/>
      <c r="B483" s="183"/>
      <c r="C483" s="183"/>
      <c r="D483" s="185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>
      <c r="A484" s="183"/>
      <c r="B484" s="183"/>
      <c r="C484" s="183"/>
      <c r="D484" s="185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>
      <c r="A485" s="183"/>
      <c r="B485" s="183"/>
      <c r="C485" s="183"/>
      <c r="D485" s="185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>
      <c r="A486" s="183"/>
      <c r="B486" s="183"/>
      <c r="C486" s="183"/>
      <c r="D486" s="185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>
      <c r="A487" s="183"/>
      <c r="B487" s="183"/>
      <c r="C487" s="183"/>
      <c r="D487" s="185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>
      <c r="A488" s="183"/>
      <c r="B488" s="183"/>
      <c r="C488" s="183"/>
      <c r="D488" s="185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>
      <c r="A489" s="183"/>
      <c r="B489" s="183"/>
      <c r="C489" s="183"/>
      <c r="D489" s="185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>
      <c r="A490" s="183"/>
      <c r="B490" s="183"/>
      <c r="C490" s="183"/>
      <c r="D490" s="185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>
      <c r="A491" s="183"/>
      <c r="B491" s="183"/>
      <c r="C491" s="183"/>
      <c r="D491" s="185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>
      <c r="A492" s="183"/>
      <c r="B492" s="183"/>
      <c r="C492" s="183"/>
      <c r="D492" s="185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>
      <c r="A493" s="183"/>
      <c r="B493" s="183"/>
      <c r="C493" s="183"/>
      <c r="D493" s="185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>
      <c r="A494" s="183"/>
      <c r="B494" s="183"/>
      <c r="C494" s="183"/>
      <c r="D494" s="185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>
      <c r="A495" s="183"/>
      <c r="B495" s="183"/>
      <c r="C495" s="183"/>
      <c r="D495" s="185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>
      <c r="A496" s="183"/>
      <c r="B496" s="183"/>
      <c r="C496" s="183"/>
      <c r="D496" s="185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>
      <c r="A497" s="183"/>
      <c r="B497" s="183"/>
      <c r="C497" s="183"/>
      <c r="D497" s="185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>
      <c r="A498" s="183"/>
      <c r="B498" s="183"/>
      <c r="C498" s="183"/>
      <c r="D498" s="185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>
      <c r="A499" s="183"/>
      <c r="B499" s="183"/>
      <c r="C499" s="183"/>
      <c r="D499" s="185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>
      <c r="A500" s="183"/>
      <c r="B500" s="183"/>
      <c r="C500" s="183"/>
      <c r="D500" s="185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>
      <c r="A501" s="183"/>
      <c r="B501" s="183"/>
      <c r="C501" s="183"/>
      <c r="D501" s="185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>
      <c r="A502" s="183"/>
      <c r="B502" s="183"/>
      <c r="C502" s="183"/>
      <c r="D502" s="185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>
      <c r="A503" s="183"/>
      <c r="B503" s="183"/>
      <c r="C503" s="183"/>
      <c r="D503" s="185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>
      <c r="A504" s="183"/>
      <c r="B504" s="183"/>
      <c r="C504" s="183"/>
      <c r="D504" s="185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>
      <c r="A505" s="183"/>
      <c r="B505" s="183"/>
      <c r="C505" s="183"/>
      <c r="D505" s="185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>
      <c r="A506" s="183"/>
      <c r="B506" s="183"/>
      <c r="C506" s="183"/>
      <c r="D506" s="185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>
      <c r="A507" s="183"/>
      <c r="B507" s="183"/>
      <c r="C507" s="183"/>
      <c r="D507" s="185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>
      <c r="A508" s="183"/>
      <c r="B508" s="183"/>
      <c r="C508" s="183"/>
      <c r="D508" s="185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>
      <c r="A509" s="183"/>
      <c r="B509" s="183"/>
      <c r="C509" s="183"/>
      <c r="D509" s="185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>
      <c r="A510" s="183"/>
      <c r="B510" s="183"/>
      <c r="C510" s="183"/>
      <c r="D510" s="185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>
      <c r="A511" s="183"/>
      <c r="B511" s="183"/>
      <c r="C511" s="183"/>
      <c r="D511" s="185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>
      <c r="A512" s="183"/>
      <c r="B512" s="183"/>
      <c r="C512" s="183"/>
      <c r="D512" s="185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>
      <c r="A513" s="183"/>
      <c r="B513" s="183"/>
      <c r="C513" s="183"/>
      <c r="D513" s="185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>
      <c r="A514" s="183"/>
      <c r="B514" s="183"/>
      <c r="C514" s="183"/>
      <c r="D514" s="185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>
      <c r="A515" s="183"/>
      <c r="B515" s="183"/>
      <c r="C515" s="183"/>
      <c r="D515" s="185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>
      <c r="A516" s="183"/>
      <c r="B516" s="183"/>
      <c r="C516" s="183"/>
      <c r="D516" s="185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>
      <c r="A517" s="183"/>
      <c r="B517" s="183"/>
      <c r="C517" s="183"/>
      <c r="D517" s="185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>
      <c r="A518" s="183"/>
      <c r="B518" s="183"/>
      <c r="C518" s="183"/>
      <c r="D518" s="185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>
      <c r="A519" s="183"/>
      <c r="B519" s="183"/>
      <c r="C519" s="183"/>
      <c r="D519" s="185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>
      <c r="A520" s="183"/>
      <c r="B520" s="183"/>
      <c r="C520" s="183"/>
      <c r="D520" s="185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>
      <c r="A521" s="183"/>
      <c r="B521" s="183"/>
      <c r="C521" s="183"/>
      <c r="D521" s="185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>
      <c r="A522" s="183"/>
      <c r="B522" s="183"/>
      <c r="C522" s="183"/>
      <c r="D522" s="185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>
      <c r="A523" s="183"/>
      <c r="B523" s="183"/>
      <c r="C523" s="183"/>
      <c r="D523" s="185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>
      <c r="A524" s="183"/>
      <c r="B524" s="183"/>
      <c r="C524" s="183"/>
      <c r="D524" s="185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>
      <c r="A525" s="183"/>
      <c r="B525" s="183"/>
      <c r="C525" s="183"/>
      <c r="D525" s="185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>
      <c r="A526" s="183"/>
      <c r="B526" s="183"/>
      <c r="C526" s="183"/>
      <c r="D526" s="185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>
      <c r="A527" s="183"/>
      <c r="B527" s="183"/>
      <c r="C527" s="183"/>
      <c r="D527" s="185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>
      <c r="A528" s="183"/>
      <c r="B528" s="183"/>
      <c r="C528" s="183"/>
      <c r="D528" s="185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>
      <c r="A529" s="183"/>
      <c r="B529" s="183"/>
      <c r="C529" s="183"/>
      <c r="D529" s="185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>
      <c r="A530" s="183"/>
      <c r="B530" s="183"/>
      <c r="C530" s="183"/>
      <c r="D530" s="185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>
      <c r="A531" s="183"/>
      <c r="B531" s="183"/>
      <c r="C531" s="183"/>
      <c r="D531" s="185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>
      <c r="A532" s="183"/>
      <c r="B532" s="183"/>
      <c r="C532" s="183"/>
      <c r="D532" s="185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>
      <c r="A533" s="183"/>
      <c r="B533" s="183"/>
      <c r="C533" s="183"/>
      <c r="D533" s="185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>
      <c r="A534" s="183"/>
      <c r="B534" s="183"/>
      <c r="C534" s="183"/>
      <c r="D534" s="185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>
      <c r="A535" s="183"/>
      <c r="B535" s="183"/>
      <c r="C535" s="183"/>
      <c r="D535" s="185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>
      <c r="A536" s="183"/>
      <c r="B536" s="183"/>
      <c r="C536" s="183"/>
      <c r="D536" s="185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>
      <c r="A537" s="183"/>
      <c r="B537" s="183"/>
      <c r="C537" s="183"/>
      <c r="D537" s="185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>
      <c r="A538" s="183"/>
      <c r="B538" s="183"/>
      <c r="C538" s="183"/>
      <c r="D538" s="185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>
      <c r="A539" s="183"/>
      <c r="B539" s="183"/>
      <c r="C539" s="183"/>
      <c r="D539" s="185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>
      <c r="A540" s="183"/>
      <c r="B540" s="183"/>
      <c r="C540" s="183"/>
      <c r="D540" s="185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>
      <c r="A541" s="183"/>
      <c r="B541" s="183"/>
      <c r="C541" s="183"/>
      <c r="D541" s="185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>
      <c r="A542" s="183"/>
      <c r="B542" s="183"/>
      <c r="C542" s="183"/>
      <c r="D542" s="185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>
      <c r="A543" s="183"/>
      <c r="B543" s="183"/>
      <c r="C543" s="183"/>
      <c r="D543" s="185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>
      <c r="A544" s="183"/>
      <c r="B544" s="183"/>
      <c r="C544" s="183"/>
      <c r="D544" s="185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>
      <c r="A545" s="183"/>
      <c r="B545" s="183"/>
      <c r="C545" s="183"/>
      <c r="D545" s="185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>
      <c r="A546" s="183"/>
      <c r="B546" s="183"/>
      <c r="C546" s="183"/>
      <c r="D546" s="185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>
      <c r="A547" s="183"/>
      <c r="B547" s="183"/>
      <c r="C547" s="183"/>
      <c r="D547" s="185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>
      <c r="A548" s="183"/>
      <c r="B548" s="183"/>
      <c r="C548" s="183"/>
      <c r="D548" s="185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>
      <c r="A549" s="183"/>
      <c r="B549" s="183"/>
      <c r="C549" s="183"/>
      <c r="D549" s="185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>
      <c r="A550" s="183"/>
      <c r="B550" s="183"/>
      <c r="C550" s="183"/>
      <c r="D550" s="185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>
      <c r="A551" s="183"/>
      <c r="B551" s="183"/>
      <c r="C551" s="183"/>
      <c r="D551" s="185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>
      <c r="A552" s="183"/>
      <c r="B552" s="183"/>
      <c r="C552" s="183"/>
      <c r="D552" s="185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>
      <c r="A553" s="183"/>
      <c r="B553" s="183"/>
      <c r="C553" s="183"/>
      <c r="D553" s="185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>
      <c r="A554" s="183"/>
      <c r="B554" s="183"/>
      <c r="C554" s="183"/>
      <c r="D554" s="185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>
      <c r="A555" s="183"/>
      <c r="B555" s="183"/>
      <c r="C555" s="183"/>
      <c r="D555" s="185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>
      <c r="A556" s="183"/>
      <c r="B556" s="183"/>
      <c r="C556" s="183"/>
      <c r="D556" s="185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>
      <c r="A557" s="183"/>
      <c r="B557" s="183"/>
      <c r="C557" s="183"/>
      <c r="D557" s="185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>
      <c r="A558" s="183"/>
      <c r="B558" s="183"/>
      <c r="C558" s="183"/>
      <c r="D558" s="185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>
      <c r="A559" s="183"/>
      <c r="B559" s="183"/>
      <c r="C559" s="183"/>
      <c r="D559" s="185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>
      <c r="A560" s="183"/>
      <c r="B560" s="183"/>
      <c r="C560" s="183"/>
      <c r="D560" s="185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>
      <c r="A561" s="183"/>
      <c r="B561" s="183"/>
      <c r="C561" s="183"/>
      <c r="D561" s="185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>
      <c r="A562" s="183"/>
      <c r="B562" s="183"/>
      <c r="C562" s="183"/>
      <c r="D562" s="185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>
      <c r="A563" s="183"/>
      <c r="B563" s="183"/>
      <c r="C563" s="183"/>
      <c r="D563" s="185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>
      <c r="A564" s="183"/>
      <c r="B564" s="183"/>
      <c r="C564" s="183"/>
      <c r="D564" s="185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>
      <c r="A565" s="183"/>
      <c r="B565" s="183"/>
      <c r="C565" s="183"/>
      <c r="D565" s="185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>
      <c r="A566" s="183"/>
      <c r="B566" s="183"/>
      <c r="C566" s="183"/>
      <c r="D566" s="185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>
      <c r="A567" s="183"/>
      <c r="B567" s="183"/>
      <c r="C567" s="183"/>
      <c r="D567" s="185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>
      <c r="A568" s="183"/>
      <c r="B568" s="183"/>
      <c r="C568" s="183"/>
      <c r="D568" s="185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>
      <c r="A569" s="183"/>
      <c r="B569" s="183"/>
      <c r="C569" s="183"/>
      <c r="D569" s="185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>
      <c r="A570" s="183"/>
      <c r="B570" s="183"/>
      <c r="C570" s="183"/>
      <c r="D570" s="185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>
      <c r="A571" s="183"/>
      <c r="B571" s="183"/>
      <c r="C571" s="183"/>
      <c r="D571" s="185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>
      <c r="A572" s="183"/>
      <c r="B572" s="183"/>
      <c r="C572" s="183"/>
      <c r="D572" s="185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>
      <c r="A573" s="183"/>
      <c r="B573" s="183"/>
      <c r="C573" s="183"/>
      <c r="D573" s="185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>
      <c r="A574" s="183"/>
      <c r="B574" s="183"/>
      <c r="C574" s="183"/>
      <c r="D574" s="185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>
      <c r="A575" s="183"/>
      <c r="B575" s="183"/>
      <c r="C575" s="183"/>
      <c r="D575" s="185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>
      <c r="A576" s="183"/>
      <c r="B576" s="183"/>
      <c r="C576" s="183"/>
      <c r="D576" s="185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>
      <c r="A577" s="183"/>
      <c r="B577" s="183"/>
      <c r="C577" s="183"/>
      <c r="D577" s="185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>
      <c r="A578" s="183"/>
      <c r="B578" s="183"/>
      <c r="C578" s="183"/>
      <c r="D578" s="185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>
      <c r="A579" s="183"/>
      <c r="B579" s="183"/>
      <c r="C579" s="183"/>
      <c r="D579" s="185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>
      <c r="A580" s="183"/>
      <c r="B580" s="183"/>
      <c r="C580" s="183"/>
      <c r="D580" s="185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>
      <c r="A581" s="183"/>
      <c r="B581" s="183"/>
      <c r="C581" s="183"/>
      <c r="D581" s="185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>
      <c r="A582" s="183"/>
      <c r="B582" s="183"/>
      <c r="C582" s="183"/>
      <c r="D582" s="185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>
      <c r="A583" s="183"/>
      <c r="B583" s="183"/>
      <c r="C583" s="183"/>
      <c r="D583" s="185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>
      <c r="A584" s="183"/>
      <c r="B584" s="183"/>
      <c r="C584" s="183"/>
      <c r="D584" s="185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>
      <c r="A585" s="183"/>
      <c r="B585" s="183"/>
      <c r="C585" s="183"/>
      <c r="D585" s="185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>
      <c r="A586" s="183"/>
      <c r="B586" s="183"/>
      <c r="C586" s="183"/>
      <c r="D586" s="185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>
      <c r="A587" s="183"/>
      <c r="B587" s="183"/>
      <c r="C587" s="183"/>
      <c r="D587" s="185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>
      <c r="A588" s="183"/>
      <c r="B588" s="183"/>
      <c r="C588" s="183"/>
      <c r="D588" s="185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>
      <c r="A589" s="183"/>
      <c r="B589" s="183"/>
      <c r="C589" s="183"/>
      <c r="D589" s="185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>
      <c r="A590" s="183"/>
      <c r="B590" s="183"/>
      <c r="C590" s="183"/>
      <c r="D590" s="185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>
      <c r="A591" s="183"/>
      <c r="B591" s="183"/>
      <c r="C591" s="183"/>
      <c r="D591" s="185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>
      <c r="A592" s="183"/>
      <c r="B592" s="183"/>
      <c r="C592" s="183"/>
      <c r="D592" s="185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>
      <c r="A593" s="183"/>
      <c r="B593" s="183"/>
      <c r="C593" s="183"/>
      <c r="D593" s="185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>
      <c r="A594" s="183"/>
      <c r="B594" s="183"/>
      <c r="C594" s="183"/>
      <c r="D594" s="185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>
      <c r="A595" s="183"/>
      <c r="B595" s="183"/>
      <c r="C595" s="183"/>
      <c r="D595" s="185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>
      <c r="A596" s="183"/>
      <c r="B596" s="183"/>
      <c r="C596" s="183"/>
      <c r="D596" s="185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>
      <c r="A597" s="183"/>
      <c r="B597" s="183"/>
      <c r="C597" s="183"/>
      <c r="D597" s="185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>
      <c r="A598" s="183"/>
      <c r="B598" s="183"/>
      <c r="C598" s="183"/>
      <c r="D598" s="185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>
      <c r="A599" s="183"/>
      <c r="B599" s="183"/>
      <c r="C599" s="183"/>
      <c r="D599" s="185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>
      <c r="A600" s="183"/>
      <c r="B600" s="183"/>
      <c r="C600" s="183"/>
      <c r="D600" s="185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>
      <c r="A601" s="183"/>
      <c r="B601" s="183"/>
      <c r="C601" s="183"/>
      <c r="D601" s="185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>
      <c r="A602" s="183"/>
      <c r="B602" s="183"/>
      <c r="C602" s="183"/>
      <c r="D602" s="185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>
      <c r="A603" s="183"/>
      <c r="B603" s="183"/>
      <c r="C603" s="183"/>
      <c r="D603" s="185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>
      <c r="A604" s="183"/>
      <c r="B604" s="183"/>
      <c r="C604" s="183"/>
      <c r="D604" s="185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>
      <c r="A605" s="183"/>
      <c r="B605" s="183"/>
      <c r="C605" s="183"/>
      <c r="D605" s="185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>
      <c r="A606" s="183"/>
      <c r="B606" s="183"/>
      <c r="C606" s="183"/>
      <c r="D606" s="185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>
      <c r="A607" s="183"/>
      <c r="B607" s="183"/>
      <c r="C607" s="183"/>
      <c r="D607" s="185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>
      <c r="A608" s="183"/>
      <c r="B608" s="183"/>
      <c r="C608" s="183"/>
      <c r="D608" s="185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>
      <c r="A609" s="183"/>
      <c r="B609" s="183"/>
      <c r="C609" s="183"/>
      <c r="D609" s="185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>
      <c r="A610" s="183"/>
      <c r="B610" s="183"/>
      <c r="C610" s="183"/>
      <c r="D610" s="185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>
      <c r="A611" s="183"/>
      <c r="B611" s="183"/>
      <c r="C611" s="183"/>
      <c r="D611" s="185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>
      <c r="A612" s="183"/>
      <c r="B612" s="183"/>
      <c r="C612" s="183"/>
      <c r="D612" s="185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>
      <c r="A613" s="183"/>
      <c r="B613" s="183"/>
      <c r="C613" s="183"/>
      <c r="D613" s="185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>
      <c r="A614" s="183"/>
      <c r="B614" s="183"/>
      <c r="C614" s="183"/>
      <c r="D614" s="185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>
      <c r="A615" s="183"/>
      <c r="B615" s="183"/>
      <c r="C615" s="183"/>
      <c r="D615" s="185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>
      <c r="A616" s="183"/>
      <c r="B616" s="183"/>
      <c r="C616" s="183"/>
      <c r="D616" s="185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>
      <c r="A617" s="183"/>
      <c r="B617" s="183"/>
      <c r="C617" s="183"/>
      <c r="D617" s="185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>
      <c r="A618" s="183"/>
      <c r="B618" s="183"/>
      <c r="C618" s="183"/>
      <c r="D618" s="185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>
      <c r="A619" s="183"/>
      <c r="B619" s="183"/>
      <c r="C619" s="183"/>
      <c r="D619" s="185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>
      <c r="A620" s="183"/>
      <c r="B620" s="183"/>
      <c r="C620" s="183"/>
      <c r="D620" s="185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>
      <c r="A621" s="183"/>
      <c r="B621" s="183"/>
      <c r="C621" s="183"/>
      <c r="D621" s="185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>
      <c r="A622" s="183"/>
      <c r="B622" s="183"/>
      <c r="C622" s="183"/>
      <c r="D622" s="185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>
      <c r="A623" s="183"/>
      <c r="B623" s="183"/>
      <c r="C623" s="183"/>
      <c r="D623" s="185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>
      <c r="A624" s="183"/>
      <c r="B624" s="183"/>
      <c r="C624" s="183"/>
      <c r="D624" s="185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>
      <c r="A625" s="183"/>
      <c r="B625" s="183"/>
      <c r="C625" s="183"/>
      <c r="D625" s="185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>
      <c r="A626" s="183"/>
      <c r="B626" s="183"/>
      <c r="C626" s="183"/>
      <c r="D626" s="185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>
      <c r="A627" s="183"/>
      <c r="B627" s="183"/>
      <c r="C627" s="183"/>
      <c r="D627" s="185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>
      <c r="A628" s="183"/>
      <c r="B628" s="183"/>
      <c r="C628" s="183"/>
      <c r="D628" s="185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>
      <c r="A629" s="183"/>
      <c r="B629" s="183"/>
      <c r="C629" s="183"/>
      <c r="D629" s="185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>
      <c r="A630" s="183"/>
      <c r="B630" s="183"/>
      <c r="C630" s="183"/>
      <c r="D630" s="185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>
      <c r="A631" s="183"/>
      <c r="B631" s="183"/>
      <c r="C631" s="183"/>
      <c r="D631" s="185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>
      <c r="A632" s="183"/>
      <c r="B632" s="183"/>
      <c r="C632" s="183"/>
      <c r="D632" s="185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>
      <c r="A633" s="183"/>
      <c r="B633" s="183"/>
      <c r="C633" s="183"/>
      <c r="D633" s="185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>
      <c r="A634" s="183"/>
      <c r="B634" s="183"/>
      <c r="C634" s="183"/>
      <c r="D634" s="185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>
      <c r="A635" s="183"/>
      <c r="B635" s="183"/>
      <c r="C635" s="183"/>
      <c r="D635" s="185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>
      <c r="A636" s="183"/>
      <c r="B636" s="183"/>
      <c r="C636" s="183"/>
      <c r="D636" s="185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>
      <c r="A637" s="183"/>
      <c r="B637" s="183"/>
      <c r="C637" s="183"/>
      <c r="D637" s="185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>
      <c r="A638" s="183"/>
      <c r="B638" s="183"/>
      <c r="C638" s="183"/>
      <c r="D638" s="185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>
      <c r="A639" s="183"/>
      <c r="B639" s="183"/>
      <c r="C639" s="183"/>
      <c r="D639" s="185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>
      <c r="A640" s="183"/>
      <c r="B640" s="183"/>
      <c r="C640" s="183"/>
      <c r="D640" s="185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>
      <c r="A641" s="183"/>
      <c r="B641" s="183"/>
      <c r="C641" s="183"/>
      <c r="D641" s="185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>
      <c r="A642" s="183"/>
      <c r="B642" s="183"/>
      <c r="C642" s="183"/>
      <c r="D642" s="185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>
      <c r="A643" s="183"/>
      <c r="B643" s="183"/>
      <c r="C643" s="183"/>
      <c r="D643" s="185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>
      <c r="A644" s="183"/>
      <c r="B644" s="183"/>
      <c r="C644" s="183"/>
      <c r="D644" s="185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>
      <c r="A645" s="183"/>
      <c r="B645" s="183"/>
      <c r="C645" s="183"/>
      <c r="D645" s="185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>
      <c r="A646" s="183"/>
      <c r="B646" s="183"/>
      <c r="C646" s="183"/>
      <c r="D646" s="185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>
      <c r="A647" s="183"/>
      <c r="B647" s="183"/>
      <c r="C647" s="183"/>
      <c r="D647" s="185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>
      <c r="A648" s="183"/>
      <c r="B648" s="183"/>
      <c r="C648" s="183"/>
      <c r="D648" s="185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>
      <c r="A649" s="183"/>
      <c r="B649" s="183"/>
      <c r="C649" s="183"/>
      <c r="D649" s="185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>
      <c r="A650" s="183"/>
      <c r="B650" s="183"/>
      <c r="C650" s="183"/>
      <c r="D650" s="185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>
      <c r="A651" s="183"/>
      <c r="B651" s="183"/>
      <c r="C651" s="183"/>
      <c r="D651" s="185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>
      <c r="A652" s="183"/>
      <c r="B652" s="183"/>
      <c r="C652" s="183"/>
      <c r="D652" s="185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>
      <c r="A653" s="183"/>
      <c r="B653" s="183"/>
      <c r="C653" s="183"/>
      <c r="D653" s="185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>
      <c r="A654" s="183"/>
      <c r="B654" s="183"/>
      <c r="C654" s="183"/>
      <c r="D654" s="185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>
      <c r="A655" s="183"/>
      <c r="B655" s="183"/>
      <c r="C655" s="183"/>
      <c r="D655" s="185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>
      <c r="A656" s="183"/>
      <c r="B656" s="183"/>
      <c r="C656" s="183"/>
      <c r="D656" s="185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>
      <c r="A657" s="183"/>
      <c r="B657" s="183"/>
      <c r="C657" s="183"/>
      <c r="D657" s="185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>
      <c r="A658" s="183"/>
      <c r="B658" s="183"/>
      <c r="C658" s="183"/>
      <c r="D658" s="185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>
      <c r="A659" s="183"/>
      <c r="B659" s="183"/>
      <c r="C659" s="183"/>
      <c r="D659" s="185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>
      <c r="A660" s="183"/>
      <c r="B660" s="183"/>
      <c r="C660" s="183"/>
      <c r="D660" s="185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>
      <c r="A661" s="183"/>
      <c r="B661" s="183"/>
      <c r="C661" s="183"/>
      <c r="D661" s="185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>
      <c r="A662" s="183"/>
      <c r="B662" s="183"/>
      <c r="C662" s="183"/>
      <c r="D662" s="185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>
      <c r="A663" s="183"/>
      <c r="B663" s="183"/>
      <c r="C663" s="183"/>
      <c r="D663" s="185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>
      <c r="A664" s="183"/>
      <c r="B664" s="183"/>
      <c r="C664" s="183"/>
      <c r="D664" s="185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>
      <c r="A665" s="183"/>
      <c r="B665" s="183"/>
      <c r="C665" s="183"/>
      <c r="D665" s="185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>
      <c r="A666" s="183"/>
      <c r="B666" s="183"/>
      <c r="C666" s="183"/>
      <c r="D666" s="185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>
      <c r="A667" s="183"/>
      <c r="B667" s="183"/>
      <c r="C667" s="183"/>
      <c r="D667" s="185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>
      <c r="A668" s="183"/>
      <c r="B668" s="183"/>
      <c r="C668" s="183"/>
      <c r="D668" s="185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>
      <c r="A669" s="183"/>
      <c r="B669" s="183"/>
      <c r="C669" s="183"/>
      <c r="D669" s="185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>
      <c r="A670" s="183"/>
      <c r="B670" s="183"/>
      <c r="C670" s="183"/>
      <c r="D670" s="185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>
      <c r="A671" s="183"/>
      <c r="B671" s="183"/>
      <c r="C671" s="183"/>
      <c r="D671" s="185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>
      <c r="A672" s="183"/>
      <c r="B672" s="183"/>
      <c r="C672" s="183"/>
      <c r="D672" s="185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>
      <c r="A673" s="183"/>
      <c r="B673" s="183"/>
      <c r="C673" s="183"/>
      <c r="D673" s="185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>
      <c r="A674" s="183"/>
      <c r="B674" s="183"/>
      <c r="C674" s="183"/>
      <c r="D674" s="185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>
      <c r="A675" s="183"/>
      <c r="B675" s="183"/>
      <c r="C675" s="183"/>
      <c r="D675" s="185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>
      <c r="A676" s="183"/>
      <c r="B676" s="183"/>
      <c r="C676" s="183"/>
      <c r="D676" s="185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>
      <c r="A677" s="183"/>
      <c r="B677" s="183"/>
      <c r="C677" s="183"/>
      <c r="D677" s="185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>
      <c r="A678" s="183"/>
      <c r="B678" s="183"/>
      <c r="C678" s="183"/>
      <c r="D678" s="185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>
      <c r="A679" s="183"/>
      <c r="B679" s="183"/>
      <c r="C679" s="183"/>
      <c r="D679" s="185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>
      <c r="A680" s="183"/>
      <c r="B680" s="183"/>
      <c r="C680" s="183"/>
      <c r="D680" s="185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>
      <c r="A681" s="183"/>
      <c r="B681" s="183"/>
      <c r="C681" s="183"/>
      <c r="D681" s="185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>
      <c r="A682" s="183"/>
      <c r="B682" s="183"/>
      <c r="C682" s="183"/>
      <c r="D682" s="185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>
      <c r="A683" s="183"/>
      <c r="B683" s="183"/>
      <c r="C683" s="183"/>
      <c r="D683" s="185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>
      <c r="A684" s="183"/>
      <c r="B684" s="183"/>
      <c r="C684" s="183"/>
      <c r="D684" s="185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>
      <c r="A685" s="183"/>
      <c r="B685" s="183"/>
      <c r="C685" s="183"/>
      <c r="D685" s="185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>
      <c r="A686" s="183"/>
      <c r="B686" s="183"/>
      <c r="C686" s="183"/>
      <c r="D686" s="185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>
      <c r="A687" s="183"/>
      <c r="B687" s="183"/>
      <c r="C687" s="183"/>
      <c r="D687" s="185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>
      <c r="A688" s="183"/>
      <c r="B688" s="183"/>
      <c r="C688" s="183"/>
      <c r="D688" s="185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>
      <c r="A689" s="183"/>
      <c r="B689" s="183"/>
      <c r="C689" s="183"/>
      <c r="D689" s="185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>
      <c r="A690" s="183"/>
      <c r="B690" s="183"/>
      <c r="C690" s="183"/>
      <c r="D690" s="185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>
      <c r="A691" s="183"/>
      <c r="B691" s="183"/>
      <c r="C691" s="183"/>
      <c r="D691" s="185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>
      <c r="A692" s="183"/>
      <c r="B692" s="183"/>
      <c r="C692" s="183"/>
      <c r="D692" s="185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>
      <c r="A693" s="183"/>
      <c r="B693" s="183"/>
      <c r="C693" s="183"/>
      <c r="D693" s="185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>
      <c r="A694" s="183"/>
      <c r="B694" s="183"/>
      <c r="C694" s="183"/>
      <c r="D694" s="185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>
      <c r="A695" s="183"/>
      <c r="B695" s="183"/>
      <c r="C695" s="183"/>
      <c r="D695" s="185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>
      <c r="A696" s="183"/>
      <c r="B696" s="183"/>
      <c r="C696" s="183"/>
      <c r="D696" s="185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>
      <c r="A697" s="183"/>
      <c r="B697" s="183"/>
      <c r="C697" s="183"/>
      <c r="D697" s="185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>
      <c r="A698" s="183"/>
      <c r="B698" s="183"/>
      <c r="C698" s="183"/>
      <c r="D698" s="185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>
      <c r="A699" s="183"/>
      <c r="B699" s="183"/>
      <c r="C699" s="183"/>
      <c r="D699" s="185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>
      <c r="A700" s="183"/>
      <c r="B700" s="183"/>
      <c r="C700" s="183"/>
      <c r="D700" s="185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>
      <c r="A701" s="183"/>
      <c r="B701" s="183"/>
      <c r="C701" s="183"/>
      <c r="D701" s="185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>
      <c r="A702" s="183"/>
      <c r="B702" s="183"/>
      <c r="C702" s="183"/>
      <c r="D702" s="185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>
      <c r="A703" s="183"/>
      <c r="B703" s="183"/>
      <c r="C703" s="183"/>
      <c r="D703" s="185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>
      <c r="A704" s="183"/>
      <c r="B704" s="183"/>
      <c r="C704" s="183"/>
      <c r="D704" s="185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>
      <c r="A705" s="183"/>
      <c r="B705" s="183"/>
      <c r="C705" s="183"/>
      <c r="D705" s="185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>
      <c r="A706" s="183"/>
      <c r="B706" s="183"/>
      <c r="C706" s="183"/>
      <c r="D706" s="185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>
      <c r="A707" s="183"/>
      <c r="B707" s="183"/>
      <c r="C707" s="183"/>
      <c r="D707" s="185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>
      <c r="A708" s="183"/>
      <c r="B708" s="183"/>
      <c r="C708" s="183"/>
      <c r="D708" s="185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>
      <c r="A709" s="183"/>
      <c r="B709" s="183"/>
      <c r="C709" s="183"/>
      <c r="D709" s="185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>
      <c r="A710" s="183"/>
      <c r="B710" s="183"/>
      <c r="C710" s="183"/>
      <c r="D710" s="185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>
      <c r="A711" s="183"/>
      <c r="B711" s="183"/>
      <c r="C711" s="183"/>
      <c r="D711" s="185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>
      <c r="A712" s="183"/>
      <c r="B712" s="183"/>
      <c r="C712" s="183"/>
      <c r="D712" s="185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>
      <c r="A713" s="183"/>
      <c r="B713" s="183"/>
      <c r="C713" s="183"/>
      <c r="D713" s="185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>
      <c r="A714" s="183"/>
      <c r="B714" s="183"/>
      <c r="C714" s="183"/>
      <c r="D714" s="185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>
      <c r="A715" s="183"/>
      <c r="B715" s="183"/>
      <c r="C715" s="183"/>
      <c r="D715" s="185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>
      <c r="A716" s="183"/>
      <c r="B716" s="183"/>
      <c r="C716" s="183"/>
      <c r="D716" s="185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>
      <c r="A717" s="183"/>
      <c r="B717" s="183"/>
      <c r="C717" s="183"/>
      <c r="D717" s="185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>
      <c r="A718" s="183"/>
      <c r="B718" s="183"/>
      <c r="C718" s="183"/>
      <c r="D718" s="185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>
      <c r="A719" s="183"/>
      <c r="B719" s="183"/>
      <c r="C719" s="183"/>
      <c r="D719" s="185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>
      <c r="A720" s="183"/>
      <c r="B720" s="183"/>
      <c r="C720" s="183"/>
      <c r="D720" s="185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>
      <c r="A721" s="183"/>
      <c r="B721" s="183"/>
      <c r="C721" s="183"/>
      <c r="D721" s="185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>
      <c r="A722" s="183"/>
      <c r="B722" s="183"/>
      <c r="C722" s="183"/>
      <c r="D722" s="185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>
      <c r="A723" s="183"/>
      <c r="B723" s="183"/>
      <c r="C723" s="183"/>
      <c r="D723" s="185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>
      <c r="A724" s="183"/>
      <c r="B724" s="183"/>
      <c r="C724" s="183"/>
      <c r="D724" s="185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>
      <c r="A725" s="183"/>
      <c r="B725" s="183"/>
      <c r="C725" s="183"/>
      <c r="D725" s="185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>
      <c r="A726" s="183"/>
      <c r="B726" s="183"/>
      <c r="C726" s="183"/>
      <c r="D726" s="185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>
      <c r="A727" s="183"/>
      <c r="B727" s="183"/>
      <c r="C727" s="183"/>
      <c r="D727" s="185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>
      <c r="A728" s="183"/>
      <c r="B728" s="183"/>
      <c r="C728" s="183"/>
      <c r="D728" s="185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>
      <c r="A729" s="183"/>
      <c r="B729" s="183"/>
      <c r="C729" s="183"/>
      <c r="D729" s="185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>
      <c r="A730" s="183"/>
      <c r="B730" s="183"/>
      <c r="C730" s="183"/>
      <c r="D730" s="185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>
      <c r="A731" s="183"/>
      <c r="B731" s="183"/>
      <c r="C731" s="183"/>
      <c r="D731" s="185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>
      <c r="A732" s="183"/>
      <c r="B732" s="183"/>
      <c r="C732" s="183"/>
      <c r="D732" s="185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>
      <c r="A733" s="183"/>
      <c r="B733" s="183"/>
      <c r="C733" s="183"/>
      <c r="D733" s="185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>
      <c r="A734" s="183"/>
      <c r="B734" s="183"/>
      <c r="C734" s="183"/>
      <c r="D734" s="185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>
      <c r="A735" s="183"/>
      <c r="B735" s="183"/>
      <c r="C735" s="183"/>
      <c r="D735" s="185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>
      <c r="A736" s="183"/>
      <c r="B736" s="183"/>
      <c r="C736" s="183"/>
      <c r="D736" s="185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>
      <c r="A737" s="183"/>
      <c r="B737" s="183"/>
      <c r="C737" s="183"/>
      <c r="D737" s="185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>
      <c r="A738" s="183"/>
      <c r="B738" s="183"/>
      <c r="C738" s="183"/>
      <c r="D738" s="185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>
      <c r="A739" s="183"/>
      <c r="B739" s="183"/>
      <c r="C739" s="183"/>
      <c r="D739" s="185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>
      <c r="A740" s="183"/>
      <c r="B740" s="183"/>
      <c r="C740" s="183"/>
      <c r="D740" s="185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>
      <c r="A741" s="183"/>
      <c r="B741" s="183"/>
      <c r="C741" s="183"/>
      <c r="D741" s="185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>
      <c r="A742" s="183"/>
      <c r="B742" s="183"/>
      <c r="C742" s="183"/>
      <c r="D742" s="185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>
      <c r="A743" s="183"/>
      <c r="B743" s="183"/>
      <c r="C743" s="183"/>
      <c r="D743" s="185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>
      <c r="A744" s="183"/>
      <c r="B744" s="183"/>
      <c r="C744" s="183"/>
      <c r="D744" s="185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>
      <c r="A745" s="183"/>
      <c r="B745" s="183"/>
      <c r="C745" s="183"/>
      <c r="D745" s="185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>
      <c r="A746" s="183"/>
      <c r="B746" s="183"/>
      <c r="C746" s="183"/>
      <c r="D746" s="185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>
      <c r="A747" s="183"/>
      <c r="B747" s="183"/>
      <c r="C747" s="183"/>
      <c r="D747" s="185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>
      <c r="A748" s="183"/>
      <c r="B748" s="183"/>
      <c r="C748" s="183"/>
      <c r="D748" s="185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>
      <c r="A749" s="183"/>
      <c r="B749" s="183"/>
      <c r="C749" s="183"/>
      <c r="D749" s="185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>
      <c r="A750" s="183"/>
      <c r="B750" s="183"/>
      <c r="C750" s="183"/>
      <c r="D750" s="185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>
      <c r="A751" s="183"/>
      <c r="B751" s="183"/>
      <c r="C751" s="183"/>
      <c r="D751" s="185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>
      <c r="A752" s="183"/>
      <c r="B752" s="183"/>
      <c r="C752" s="183"/>
      <c r="D752" s="185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>
      <c r="A753" s="183"/>
      <c r="B753" s="183"/>
      <c r="C753" s="183"/>
      <c r="D753" s="185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>
      <c r="A754" s="183"/>
      <c r="B754" s="183"/>
      <c r="C754" s="183"/>
      <c r="D754" s="185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>
      <c r="A755" s="183"/>
      <c r="B755" s="183"/>
      <c r="C755" s="183"/>
      <c r="D755" s="185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>
      <c r="A756" s="183"/>
      <c r="B756" s="183"/>
      <c r="C756" s="183"/>
      <c r="D756" s="185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>
      <c r="A757" s="183"/>
      <c r="B757" s="183"/>
      <c r="C757" s="183"/>
      <c r="D757" s="185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>
      <c r="A758" s="183"/>
      <c r="B758" s="183"/>
      <c r="C758" s="183"/>
      <c r="D758" s="185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>
      <c r="A759" s="183"/>
      <c r="B759" s="183"/>
      <c r="C759" s="183"/>
      <c r="D759" s="185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>
      <c r="A760" s="183"/>
      <c r="B760" s="183"/>
      <c r="C760" s="183"/>
      <c r="D760" s="185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>
      <c r="A761" s="183"/>
      <c r="B761" s="183"/>
      <c r="C761" s="183"/>
      <c r="D761" s="185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>
      <c r="A762" s="183"/>
      <c r="B762" s="183"/>
      <c r="C762" s="183"/>
      <c r="D762" s="185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>
      <c r="A763" s="183"/>
      <c r="B763" s="183"/>
      <c r="C763" s="183"/>
      <c r="D763" s="185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>
      <c r="A764" s="183"/>
      <c r="B764" s="183"/>
      <c r="C764" s="183"/>
      <c r="D764" s="185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>
      <c r="A765" s="183"/>
      <c r="B765" s="183"/>
      <c r="C765" s="183"/>
      <c r="D765" s="185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>
      <c r="A766" s="183"/>
      <c r="B766" s="183"/>
      <c r="C766" s="183"/>
      <c r="D766" s="185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>
      <c r="A767" s="183"/>
      <c r="B767" s="183"/>
      <c r="C767" s="183"/>
      <c r="D767" s="185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>
      <c r="A768" s="183"/>
      <c r="B768" s="183"/>
      <c r="C768" s="183"/>
      <c r="D768" s="185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>
      <c r="A769" s="183"/>
      <c r="B769" s="183"/>
      <c r="C769" s="183"/>
      <c r="D769" s="185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>
      <c r="A770" s="183"/>
      <c r="B770" s="183"/>
      <c r="C770" s="183"/>
      <c r="D770" s="185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>
      <c r="A771" s="183"/>
      <c r="B771" s="183"/>
      <c r="C771" s="183"/>
      <c r="D771" s="185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>
      <c r="A772" s="183"/>
      <c r="B772" s="183"/>
      <c r="C772" s="183"/>
      <c r="D772" s="185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>
      <c r="A773" s="183"/>
      <c r="B773" s="183"/>
      <c r="C773" s="183"/>
      <c r="D773" s="185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>
      <c r="A774" s="183"/>
      <c r="B774" s="183"/>
      <c r="C774" s="183"/>
      <c r="D774" s="185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>
      <c r="A775" s="183"/>
      <c r="B775" s="183"/>
      <c r="C775" s="183"/>
      <c r="D775" s="185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>
      <c r="A776" s="183"/>
      <c r="B776" s="183"/>
      <c r="C776" s="183"/>
      <c r="D776" s="185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>
      <c r="A777" s="183"/>
      <c r="B777" s="183"/>
      <c r="C777" s="183"/>
      <c r="D777" s="185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>
      <c r="A778" s="183"/>
      <c r="B778" s="183"/>
      <c r="C778" s="183"/>
      <c r="D778" s="185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>
      <c r="A779" s="183"/>
      <c r="B779" s="183"/>
      <c r="C779" s="183"/>
      <c r="D779" s="185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>
      <c r="A780" s="183"/>
      <c r="B780" s="183"/>
      <c r="C780" s="183"/>
      <c r="D780" s="185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>
      <c r="A781" s="183"/>
      <c r="B781" s="183"/>
      <c r="C781" s="183"/>
      <c r="D781" s="185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>
      <c r="A782" s="183"/>
      <c r="B782" s="183"/>
      <c r="C782" s="183"/>
      <c r="D782" s="185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>
      <c r="A783" s="183"/>
      <c r="B783" s="183"/>
      <c r="C783" s="183"/>
      <c r="D783" s="185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>
      <c r="A784" s="183"/>
      <c r="B784" s="183"/>
      <c r="C784" s="183"/>
      <c r="D784" s="185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>
      <c r="A785" s="183"/>
      <c r="B785" s="183"/>
      <c r="C785" s="183"/>
      <c r="D785" s="185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>
      <c r="A786" s="183"/>
      <c r="B786" s="183"/>
      <c r="C786" s="183"/>
      <c r="D786" s="185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>
      <c r="A787" s="183"/>
      <c r="B787" s="183"/>
      <c r="C787" s="183"/>
      <c r="D787" s="185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>
      <c r="A788" s="183"/>
      <c r="B788" s="183"/>
      <c r="C788" s="183"/>
      <c r="D788" s="185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>
      <c r="A789" s="183"/>
      <c r="B789" s="183"/>
      <c r="C789" s="183"/>
      <c r="D789" s="185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>
      <c r="A790" s="183"/>
      <c r="B790" s="183"/>
      <c r="C790" s="183"/>
      <c r="D790" s="185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>
      <c r="A791" s="183"/>
      <c r="B791" s="183"/>
      <c r="C791" s="183"/>
      <c r="D791" s="185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>
      <c r="A792" s="183"/>
      <c r="B792" s="183"/>
      <c r="C792" s="183"/>
      <c r="D792" s="185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>
      <c r="A793" s="183"/>
      <c r="B793" s="183"/>
      <c r="C793" s="183"/>
      <c r="D793" s="185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>
      <c r="A794" s="183"/>
      <c r="B794" s="183"/>
      <c r="C794" s="183"/>
      <c r="D794" s="185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>
      <c r="A795" s="183"/>
      <c r="B795" s="183"/>
      <c r="C795" s="183"/>
      <c r="D795" s="185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>
      <c r="A796" s="183"/>
      <c r="B796" s="183"/>
      <c r="C796" s="183"/>
      <c r="D796" s="185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>
      <c r="A797" s="183"/>
      <c r="B797" s="183"/>
      <c r="C797" s="183"/>
      <c r="D797" s="185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>
      <c r="A798" s="183"/>
      <c r="B798" s="183"/>
      <c r="C798" s="183"/>
      <c r="D798" s="185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>
      <c r="A799" s="183"/>
      <c r="B799" s="183"/>
      <c r="C799" s="183"/>
      <c r="D799" s="185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>
      <c r="A800" s="183"/>
      <c r="B800" s="183"/>
      <c r="C800" s="183"/>
      <c r="D800" s="185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>
      <c r="A801" s="183"/>
      <c r="B801" s="183"/>
      <c r="C801" s="183"/>
      <c r="D801" s="185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>
      <c r="A802" s="183"/>
      <c r="B802" s="183"/>
      <c r="C802" s="183"/>
      <c r="D802" s="185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>
      <c r="A803" s="183"/>
      <c r="B803" s="183"/>
      <c r="C803" s="183"/>
      <c r="D803" s="185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>
      <c r="A804" s="183"/>
      <c r="B804" s="183"/>
      <c r="C804" s="183"/>
      <c r="D804" s="185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>
      <c r="A805" s="183"/>
      <c r="B805" s="183"/>
      <c r="C805" s="183"/>
      <c r="D805" s="185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>
      <c r="A806" s="183"/>
      <c r="B806" s="183"/>
      <c r="C806" s="183"/>
      <c r="D806" s="185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>
      <c r="A807" s="183"/>
      <c r="B807" s="183"/>
      <c r="C807" s="183"/>
      <c r="D807" s="185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>
      <c r="A808" s="183"/>
      <c r="B808" s="183"/>
      <c r="C808" s="183"/>
      <c r="D808" s="185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>
      <c r="A809" s="183"/>
      <c r="B809" s="183"/>
      <c r="C809" s="183"/>
      <c r="D809" s="185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>
      <c r="A810" s="183"/>
      <c r="B810" s="183"/>
      <c r="C810" s="183"/>
      <c r="D810" s="185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>
      <c r="A811" s="183"/>
      <c r="B811" s="183"/>
      <c r="C811" s="183"/>
      <c r="D811" s="185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>
      <c r="A812" s="183"/>
      <c r="B812" s="183"/>
      <c r="C812" s="183"/>
      <c r="D812" s="185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>
      <c r="A813" s="183"/>
      <c r="B813" s="183"/>
      <c r="C813" s="183"/>
      <c r="D813" s="185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>
      <c r="A814" s="183"/>
      <c r="B814" s="183"/>
      <c r="C814" s="183"/>
      <c r="D814" s="185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>
      <c r="A815" s="183"/>
      <c r="B815" s="183"/>
      <c r="C815" s="183"/>
      <c r="D815" s="185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>
      <c r="A816" s="183"/>
      <c r="B816" s="183"/>
      <c r="C816" s="183"/>
      <c r="D816" s="185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>
      <c r="A817" s="183"/>
      <c r="B817" s="183"/>
      <c r="C817" s="183"/>
      <c r="D817" s="185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>
      <c r="A818" s="183"/>
      <c r="B818" s="183"/>
      <c r="C818" s="183"/>
      <c r="D818" s="185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>
      <c r="A819" s="183"/>
      <c r="B819" s="183"/>
      <c r="C819" s="183"/>
      <c r="D819" s="185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>
      <c r="A820" s="183"/>
      <c r="B820" s="183"/>
      <c r="C820" s="183"/>
      <c r="D820" s="185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>
      <c r="A821" s="183"/>
      <c r="B821" s="183"/>
      <c r="C821" s="183"/>
      <c r="D821" s="185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>
      <c r="A822" s="183"/>
      <c r="B822" s="183"/>
      <c r="C822" s="183"/>
      <c r="D822" s="185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>
      <c r="A823" s="183"/>
      <c r="B823" s="183"/>
      <c r="C823" s="183"/>
      <c r="D823" s="185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>
      <c r="A824" s="183"/>
      <c r="B824" s="183"/>
      <c r="C824" s="183"/>
      <c r="D824" s="185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>
      <c r="A825" s="183"/>
      <c r="B825" s="183"/>
      <c r="C825" s="183"/>
      <c r="D825" s="185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>
      <c r="A826" s="183"/>
      <c r="B826" s="183"/>
      <c r="C826" s="183"/>
      <c r="D826" s="185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>
      <c r="A827" s="183"/>
      <c r="B827" s="183"/>
      <c r="C827" s="183"/>
      <c r="D827" s="185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>
      <c r="A828" s="183"/>
      <c r="B828" s="183"/>
      <c r="C828" s="183"/>
      <c r="D828" s="185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>
      <c r="A829" s="183"/>
      <c r="B829" s="183"/>
      <c r="C829" s="183"/>
      <c r="D829" s="185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>
      <c r="A830" s="183"/>
      <c r="B830" s="183"/>
      <c r="C830" s="183"/>
      <c r="D830" s="185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>
      <c r="A831" s="183"/>
      <c r="B831" s="183"/>
      <c r="C831" s="183"/>
      <c r="D831" s="185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>
      <c r="A832" s="183"/>
      <c r="B832" s="183"/>
      <c r="C832" s="183"/>
      <c r="D832" s="185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>
      <c r="A833" s="183"/>
      <c r="B833" s="183"/>
      <c r="C833" s="183"/>
      <c r="D833" s="185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>
      <c r="A834" s="183"/>
      <c r="B834" s="183"/>
      <c r="C834" s="183"/>
      <c r="D834" s="185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>
      <c r="A835" s="183"/>
      <c r="B835" s="183"/>
      <c r="C835" s="183"/>
      <c r="D835" s="185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>
      <c r="A836" s="183"/>
      <c r="B836" s="183"/>
      <c r="C836" s="183"/>
      <c r="D836" s="185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>
      <c r="A837" s="183"/>
      <c r="B837" s="183"/>
      <c r="C837" s="183"/>
      <c r="D837" s="185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>
      <c r="A838" s="183"/>
      <c r="B838" s="183"/>
      <c r="C838" s="183"/>
      <c r="D838" s="185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>
      <c r="A839" s="183"/>
      <c r="B839" s="183"/>
      <c r="C839" s="183"/>
      <c r="D839" s="185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>
      <c r="A840" s="183"/>
      <c r="B840" s="183"/>
      <c r="C840" s="183"/>
      <c r="D840" s="185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>
      <c r="A841" s="183"/>
      <c r="B841" s="183"/>
      <c r="C841" s="183"/>
      <c r="D841" s="185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>
      <c r="A842" s="183"/>
      <c r="B842" s="183"/>
      <c r="C842" s="183"/>
      <c r="D842" s="185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>
      <c r="A843" s="183"/>
      <c r="B843" s="183"/>
      <c r="C843" s="183"/>
      <c r="D843" s="185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>
      <c r="A844" s="183"/>
      <c r="B844" s="183"/>
      <c r="C844" s="183"/>
      <c r="D844" s="185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>
      <c r="A845" s="183"/>
      <c r="B845" s="183"/>
      <c r="C845" s="183"/>
      <c r="D845" s="185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>
      <c r="A846" s="183"/>
      <c r="B846" s="183"/>
      <c r="C846" s="183"/>
      <c r="D846" s="185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>
      <c r="A847" s="183"/>
      <c r="B847" s="183"/>
      <c r="C847" s="183"/>
      <c r="D847" s="185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>
      <c r="A848" s="183"/>
      <c r="B848" s="183"/>
      <c r="C848" s="183"/>
      <c r="D848" s="185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>
      <c r="A849" s="183"/>
      <c r="B849" s="183"/>
      <c r="C849" s="183"/>
      <c r="D849" s="185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>
      <c r="A850" s="183"/>
      <c r="B850" s="183"/>
      <c r="C850" s="183"/>
      <c r="D850" s="185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>
      <c r="A851" s="183"/>
      <c r="B851" s="183"/>
      <c r="C851" s="183"/>
      <c r="D851" s="185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>
      <c r="A852" s="183"/>
      <c r="B852" s="183"/>
      <c r="C852" s="183"/>
      <c r="D852" s="185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>
      <c r="A853" s="183"/>
      <c r="B853" s="183"/>
      <c r="C853" s="183"/>
      <c r="D853" s="185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>
      <c r="A854" s="183"/>
      <c r="B854" s="183"/>
      <c r="C854" s="183"/>
      <c r="D854" s="185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>
      <c r="A855" s="183"/>
      <c r="B855" s="183"/>
      <c r="C855" s="183"/>
      <c r="D855" s="185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>
      <c r="A856" s="183"/>
      <c r="B856" s="183"/>
      <c r="C856" s="183"/>
      <c r="D856" s="185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>
      <c r="A857" s="183"/>
      <c r="B857" s="183"/>
      <c r="C857" s="183"/>
      <c r="D857" s="185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>
      <c r="A858" s="183"/>
      <c r="B858" s="183"/>
      <c r="C858" s="183"/>
      <c r="D858" s="185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>
      <c r="A859" s="183"/>
      <c r="B859" s="183"/>
      <c r="C859" s="183"/>
      <c r="D859" s="185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>
      <c r="A860" s="183"/>
      <c r="B860" s="183"/>
      <c r="C860" s="183"/>
      <c r="D860" s="185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>
      <c r="A861" s="183"/>
      <c r="B861" s="183"/>
      <c r="C861" s="183"/>
      <c r="D861" s="185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>
      <c r="A862" s="183"/>
      <c r="B862" s="183"/>
      <c r="C862" s="183"/>
      <c r="D862" s="185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>
      <c r="A863" s="183"/>
      <c r="B863" s="183"/>
      <c r="C863" s="183"/>
      <c r="D863" s="185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>
      <c r="A864" s="183"/>
      <c r="B864" s="183"/>
      <c r="C864" s="183"/>
      <c r="D864" s="185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>
      <c r="A865" s="183"/>
      <c r="B865" s="183"/>
      <c r="C865" s="183"/>
      <c r="D865" s="185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>
      <c r="A866" s="183"/>
      <c r="B866" s="183"/>
      <c r="C866" s="183"/>
      <c r="D866" s="185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>
      <c r="A867" s="183"/>
      <c r="B867" s="183"/>
      <c r="C867" s="183"/>
      <c r="D867" s="185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>
      <c r="A868" s="183"/>
      <c r="B868" s="183"/>
      <c r="C868" s="183"/>
      <c r="D868" s="185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>
      <c r="A869" s="183"/>
      <c r="B869" s="183"/>
      <c r="C869" s="183"/>
      <c r="D869" s="185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>
      <c r="A870" s="183"/>
      <c r="B870" s="183"/>
      <c r="C870" s="183"/>
      <c r="D870" s="185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>
      <c r="A871" s="183"/>
      <c r="B871" s="183"/>
      <c r="C871" s="183"/>
      <c r="D871" s="185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>
      <c r="A872" s="183"/>
      <c r="B872" s="183"/>
      <c r="C872" s="183"/>
      <c r="D872" s="185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>
      <c r="A873" s="183"/>
      <c r="B873" s="183"/>
      <c r="C873" s="183"/>
      <c r="D873" s="185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>
      <c r="A874" s="183"/>
      <c r="B874" s="183"/>
      <c r="C874" s="183"/>
      <c r="D874" s="185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>
      <c r="A875" s="183"/>
      <c r="B875" s="183"/>
      <c r="C875" s="183"/>
      <c r="D875" s="185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>
      <c r="A876" s="183"/>
      <c r="B876" s="183"/>
      <c r="C876" s="183"/>
      <c r="D876" s="185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>
      <c r="A877" s="183"/>
      <c r="B877" s="183"/>
      <c r="C877" s="183"/>
      <c r="D877" s="185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>
      <c r="A878" s="183"/>
      <c r="B878" s="183"/>
      <c r="C878" s="183"/>
      <c r="D878" s="185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>
      <c r="A879" s="183"/>
      <c r="B879" s="183"/>
      <c r="C879" s="183"/>
      <c r="D879" s="185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>
      <c r="A880" s="183"/>
      <c r="B880" s="183"/>
      <c r="C880" s="183"/>
      <c r="D880" s="185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>
      <c r="A881" s="183"/>
      <c r="B881" s="183"/>
      <c r="C881" s="183"/>
      <c r="D881" s="185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>
      <c r="A882" s="183"/>
      <c r="B882" s="183"/>
      <c r="C882" s="183"/>
      <c r="D882" s="185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>
      <c r="A883" s="183"/>
      <c r="B883" s="183"/>
      <c r="C883" s="183"/>
      <c r="D883" s="185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>
      <c r="A884" s="183"/>
      <c r="B884" s="183"/>
      <c r="C884" s="183"/>
      <c r="D884" s="185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>
      <c r="A885" s="183"/>
      <c r="B885" s="183"/>
      <c r="C885" s="183"/>
      <c r="D885" s="185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>
      <c r="A886" s="183"/>
      <c r="B886" s="183"/>
      <c r="C886" s="183"/>
      <c r="D886" s="185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>
      <c r="A887" s="183"/>
      <c r="B887" s="183"/>
      <c r="C887" s="183"/>
      <c r="D887" s="185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>
      <c r="A888" s="183"/>
      <c r="B888" s="183"/>
      <c r="C888" s="183"/>
      <c r="D888" s="185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>
      <c r="A889" s="183"/>
      <c r="B889" s="183"/>
      <c r="C889" s="183"/>
      <c r="D889" s="185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>
      <c r="A890" s="183"/>
      <c r="B890" s="183"/>
      <c r="C890" s="183"/>
      <c r="D890" s="185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>
      <c r="A891" s="183"/>
      <c r="B891" s="183"/>
      <c r="C891" s="183"/>
      <c r="D891" s="185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>
      <c r="A892" s="183"/>
      <c r="B892" s="183"/>
      <c r="C892" s="183"/>
      <c r="D892" s="185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>
      <c r="A893" s="183"/>
      <c r="B893" s="183"/>
      <c r="C893" s="183"/>
      <c r="D893" s="185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>
      <c r="A894" s="183"/>
      <c r="B894" s="183"/>
      <c r="C894" s="183"/>
      <c r="D894" s="185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>
      <c r="A895" s="183"/>
      <c r="B895" s="183"/>
      <c r="C895" s="183"/>
      <c r="D895" s="185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>
      <c r="A896" s="183"/>
      <c r="B896" s="183"/>
      <c r="C896" s="183"/>
      <c r="D896" s="185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>
      <c r="A897" s="183"/>
      <c r="B897" s="183"/>
      <c r="C897" s="183"/>
      <c r="D897" s="185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>
      <c r="A898" s="183"/>
      <c r="B898" s="183"/>
      <c r="C898" s="183"/>
      <c r="D898" s="185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>
      <c r="A899" s="183"/>
      <c r="B899" s="183"/>
      <c r="C899" s="183"/>
      <c r="D899" s="185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>
      <c r="A900" s="183"/>
      <c r="B900" s="183"/>
      <c r="C900" s="183"/>
      <c r="D900" s="185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>
      <c r="A901" s="183"/>
      <c r="B901" s="183"/>
      <c r="C901" s="183"/>
      <c r="D901" s="185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>
      <c r="A902" s="183"/>
      <c r="B902" s="183"/>
      <c r="C902" s="183"/>
      <c r="D902" s="185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>
      <c r="A903" s="183"/>
      <c r="B903" s="183"/>
      <c r="C903" s="183"/>
      <c r="D903" s="185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>
      <c r="A904" s="183"/>
      <c r="B904" s="183"/>
      <c r="C904" s="183"/>
      <c r="D904" s="185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>
      <c r="A905" s="183"/>
      <c r="B905" s="183"/>
      <c r="C905" s="183"/>
      <c r="D905" s="185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>
      <c r="A906" s="183"/>
      <c r="B906" s="183"/>
      <c r="C906" s="183"/>
      <c r="D906" s="185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>
      <c r="A907" s="183"/>
      <c r="B907" s="183"/>
      <c r="C907" s="183"/>
      <c r="D907" s="185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>
      <c r="A908" s="183"/>
      <c r="B908" s="183"/>
      <c r="C908" s="183"/>
      <c r="D908" s="185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>
      <c r="A909" s="183"/>
      <c r="B909" s="183"/>
      <c r="C909" s="183"/>
      <c r="D909" s="185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>
      <c r="A910" s="183"/>
      <c r="B910" s="183"/>
      <c r="C910" s="183"/>
      <c r="D910" s="185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>
      <c r="A911" s="183"/>
      <c r="B911" s="183"/>
      <c r="C911" s="183"/>
      <c r="D911" s="185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>
      <c r="A912" s="183"/>
      <c r="B912" s="183"/>
      <c r="C912" s="183"/>
      <c r="D912" s="185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>
      <c r="A913" s="183"/>
      <c r="B913" s="183"/>
      <c r="C913" s="183"/>
      <c r="D913" s="185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>
      <c r="A914" s="183"/>
      <c r="B914" s="183"/>
      <c r="C914" s="183"/>
      <c r="D914" s="185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>
      <c r="A915" s="183"/>
      <c r="B915" s="183"/>
      <c r="C915" s="183"/>
      <c r="D915" s="185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>
      <c r="A916" s="183"/>
      <c r="B916" s="183"/>
      <c r="C916" s="183"/>
      <c r="D916" s="185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>
      <c r="A917" s="183"/>
      <c r="B917" s="183"/>
      <c r="C917" s="183"/>
      <c r="D917" s="185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>
      <c r="A918" s="183"/>
      <c r="B918" s="183"/>
      <c r="C918" s="183"/>
      <c r="D918" s="185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>
      <c r="A919" s="183"/>
      <c r="B919" s="183"/>
      <c r="C919" s="183"/>
      <c r="D919" s="185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>
      <c r="A920" s="183"/>
      <c r="B920" s="183"/>
      <c r="C920" s="183"/>
      <c r="D920" s="185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>
      <c r="A921" s="183"/>
      <c r="B921" s="183"/>
      <c r="C921" s="183"/>
      <c r="D921" s="185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>
      <c r="A922" s="183"/>
      <c r="B922" s="183"/>
      <c r="C922" s="183"/>
      <c r="D922" s="185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>
      <c r="A923" s="183"/>
      <c r="B923" s="183"/>
      <c r="C923" s="183"/>
      <c r="D923" s="185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>
      <c r="A924" s="183"/>
      <c r="B924" s="183"/>
      <c r="C924" s="183"/>
      <c r="D924" s="185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>
      <c r="A925" s="183"/>
      <c r="B925" s="183"/>
      <c r="C925" s="183"/>
      <c r="D925" s="185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>
      <c r="A926" s="183"/>
      <c r="B926" s="183"/>
      <c r="C926" s="183"/>
      <c r="D926" s="185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>
      <c r="A927" s="183"/>
      <c r="B927" s="183"/>
      <c r="C927" s="183"/>
      <c r="D927" s="185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>
      <c r="A928" s="183"/>
      <c r="B928" s="183"/>
      <c r="C928" s="183"/>
      <c r="D928" s="185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>
      <c r="A929" s="183"/>
      <c r="B929" s="183"/>
      <c r="C929" s="183"/>
      <c r="D929" s="185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>
      <c r="A930" s="183"/>
      <c r="B930" s="183"/>
      <c r="C930" s="183"/>
      <c r="D930" s="185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>
      <c r="A931" s="183"/>
      <c r="B931" s="183"/>
      <c r="C931" s="183"/>
      <c r="D931" s="185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>
      <c r="A932" s="183"/>
      <c r="B932" s="183"/>
      <c r="C932" s="183"/>
      <c r="D932" s="185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>
      <c r="A933" s="183"/>
      <c r="B933" s="183"/>
      <c r="C933" s="183"/>
      <c r="D933" s="185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>
      <c r="A934" s="183"/>
      <c r="B934" s="183"/>
      <c r="C934" s="183"/>
      <c r="D934" s="185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>
      <c r="A935" s="183"/>
      <c r="B935" s="183"/>
      <c r="C935" s="183"/>
      <c r="D935" s="185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>
      <c r="A936" s="183"/>
      <c r="B936" s="183"/>
      <c r="C936" s="183"/>
      <c r="D936" s="185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>
      <c r="A937" s="183"/>
      <c r="B937" s="183"/>
      <c r="C937" s="183"/>
      <c r="D937" s="185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>
      <c r="A938" s="183"/>
      <c r="B938" s="183"/>
      <c r="C938" s="183"/>
      <c r="D938" s="185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>
      <c r="A939" s="183"/>
      <c r="B939" s="183"/>
      <c r="C939" s="183"/>
      <c r="D939" s="185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>
      <c r="A940" s="183"/>
      <c r="B940" s="183"/>
      <c r="C940" s="183"/>
      <c r="D940" s="185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>
      <c r="A941" s="183"/>
      <c r="B941" s="183"/>
      <c r="C941" s="183"/>
      <c r="D941" s="185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>
      <c r="A942" s="183"/>
      <c r="B942" s="183"/>
      <c r="C942" s="183"/>
      <c r="D942" s="185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>
      <c r="A943" s="183"/>
      <c r="B943" s="183"/>
      <c r="C943" s="183"/>
      <c r="D943" s="185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>
      <c r="A944" s="183"/>
      <c r="B944" s="183"/>
      <c r="C944" s="183"/>
      <c r="D944" s="185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>
      <c r="A945" s="183"/>
      <c r="B945" s="183"/>
      <c r="C945" s="183"/>
      <c r="D945" s="185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>
      <c r="A946" s="183"/>
      <c r="B946" s="183"/>
      <c r="C946" s="183"/>
      <c r="D946" s="185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>
      <c r="A947" s="183"/>
      <c r="B947" s="183"/>
      <c r="C947" s="183"/>
      <c r="D947" s="185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>
      <c r="A948" s="183"/>
      <c r="B948" s="183"/>
      <c r="C948" s="183"/>
      <c r="D948" s="185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>
      <c r="A949" s="183"/>
      <c r="B949" s="183"/>
      <c r="C949" s="183"/>
      <c r="D949" s="185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>
      <c r="A950" s="183"/>
      <c r="B950" s="183"/>
      <c r="C950" s="183"/>
      <c r="D950" s="185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>
      <c r="A951" s="183"/>
      <c r="B951" s="183"/>
      <c r="C951" s="183"/>
      <c r="D951" s="185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>
      <c r="A952" s="183"/>
      <c r="B952" s="183"/>
      <c r="C952" s="183"/>
      <c r="D952" s="185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>
      <c r="A953" s="183"/>
      <c r="B953" s="183"/>
      <c r="C953" s="183"/>
      <c r="D953" s="185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>
      <c r="A954" s="183"/>
      <c r="B954" s="183"/>
      <c r="C954" s="183"/>
      <c r="D954" s="185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>
      <c r="A955" s="183"/>
      <c r="B955" s="183"/>
      <c r="C955" s="183"/>
      <c r="D955" s="185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>
      <c r="A956" s="183"/>
      <c r="B956" s="183"/>
      <c r="C956" s="183"/>
      <c r="D956" s="185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>
      <c r="A957" s="183"/>
      <c r="B957" s="183"/>
      <c r="C957" s="183"/>
      <c r="D957" s="185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>
      <c r="A958" s="183"/>
      <c r="B958" s="183"/>
      <c r="C958" s="183"/>
      <c r="D958" s="185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>
      <c r="A959" s="183"/>
      <c r="B959" s="183"/>
      <c r="C959" s="183"/>
      <c r="D959" s="185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>
      <c r="A960" s="183"/>
      <c r="B960" s="183"/>
      <c r="C960" s="183"/>
      <c r="D960" s="185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>
      <c r="A961" s="183"/>
      <c r="B961" s="183"/>
      <c r="C961" s="183"/>
      <c r="D961" s="185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>
      <c r="A962" s="183"/>
      <c r="B962" s="183"/>
      <c r="C962" s="183"/>
      <c r="D962" s="185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>
      <c r="A963" s="183"/>
      <c r="B963" s="183"/>
      <c r="C963" s="183"/>
      <c r="D963" s="185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>
      <c r="A964" s="183"/>
      <c r="B964" s="183"/>
      <c r="C964" s="183"/>
      <c r="D964" s="185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>
      <c r="A965" s="183"/>
      <c r="B965" s="183"/>
      <c r="C965" s="183"/>
      <c r="D965" s="185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>
      <c r="A966" s="183"/>
      <c r="B966" s="183"/>
      <c r="C966" s="183"/>
      <c r="D966" s="185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</sheetData>
  <hyperlinks>
    <hyperlink r:id="rId1" ref="D3"/>
    <hyperlink r:id="rId2" ref="D4"/>
    <hyperlink r:id="rId3" ref="D5"/>
    <hyperlink r:id="rId4" ref="F5"/>
    <hyperlink r:id="rId5" ref="D6"/>
    <hyperlink r:id="rId6" ref="F6"/>
    <hyperlink r:id="rId7" ref="D7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8"/>
    <hyperlink r:id="rId17" ref="D20"/>
    <hyperlink r:id="rId18" ref="F20"/>
    <hyperlink r:id="rId19" ref="D21"/>
    <hyperlink r:id="rId20" ref="F21"/>
    <hyperlink r:id="rId21" ref="D22"/>
    <hyperlink r:id="rId22" ref="F23"/>
    <hyperlink r:id="rId23" ref="D24"/>
    <hyperlink r:id="rId24" ref="F24"/>
    <hyperlink r:id="rId25" ref="D25"/>
  </hyperlinks>
  <drawing r:id="rId2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48.86"/>
    <col customWidth="1" min="2" max="2" width="11.29"/>
    <col customWidth="1" min="3" max="3" width="12.29"/>
    <col customWidth="1" min="4" max="4" width="46.14"/>
    <col customWidth="1" min="5" max="5" width="13.43"/>
    <col customWidth="1" min="6" max="6" width="24.14"/>
    <col customWidth="1" min="7" max="7" width="25.29"/>
    <col customWidth="1" min="8" max="8" width="53.71"/>
    <col customWidth="1" min="9" max="9" width="17.86"/>
    <col customWidth="1" min="10" max="10" width="13.86"/>
    <col customWidth="1" min="11" max="11" width="19.29"/>
    <col customWidth="1" min="12" max="12" width="61.71"/>
    <col customWidth="1" min="13" max="13" width="60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107" t="s">
        <v>7</v>
      </c>
      <c r="I1" s="107" t="s">
        <v>8</v>
      </c>
      <c r="J1" s="107" t="s">
        <v>9</v>
      </c>
      <c r="K1" s="127" t="s">
        <v>10</v>
      </c>
      <c r="L1" s="107" t="s">
        <v>11</v>
      </c>
      <c r="M1" s="127" t="s">
        <v>12</v>
      </c>
      <c r="N1" s="127" t="s">
        <v>13</v>
      </c>
      <c r="O1" s="127" t="s">
        <v>14</v>
      </c>
      <c r="P1" s="127" t="s">
        <v>15</v>
      </c>
      <c r="Q1" s="127" t="s">
        <v>16</v>
      </c>
      <c r="R1" s="127" t="s">
        <v>17</v>
      </c>
      <c r="S1" s="127" t="s">
        <v>18</v>
      </c>
      <c r="T1" s="107" t="s">
        <v>19</v>
      </c>
      <c r="U1" s="107" t="s">
        <v>20</v>
      </c>
      <c r="V1" s="127" t="s">
        <v>21</v>
      </c>
      <c r="W1" s="127" t="s">
        <v>22</v>
      </c>
      <c r="X1" s="127" t="s">
        <v>23</v>
      </c>
      <c r="Y1" s="127" t="s">
        <v>24</v>
      </c>
      <c r="Z1" s="93"/>
      <c r="AA1" s="40"/>
    </row>
    <row r="2">
      <c r="A2" s="114" t="s">
        <v>2738</v>
      </c>
      <c r="B2" s="128" t="s">
        <v>2739</v>
      </c>
      <c r="C2" s="128" t="s">
        <v>3573</v>
      </c>
      <c r="D2" s="113" t="s">
        <v>2740</v>
      </c>
      <c r="E2" s="114" t="s">
        <v>2741</v>
      </c>
      <c r="F2" s="114" t="s">
        <v>2742</v>
      </c>
      <c r="G2" s="114" t="s">
        <v>2743</v>
      </c>
      <c r="H2" s="114" t="s">
        <v>2744</v>
      </c>
      <c r="I2" s="128"/>
      <c r="J2" s="128" t="s">
        <v>413</v>
      </c>
      <c r="K2" s="128" t="s">
        <v>3574</v>
      </c>
      <c r="L2" s="128" t="s">
        <v>3575</v>
      </c>
      <c r="M2" s="128" t="s">
        <v>2745</v>
      </c>
      <c r="N2" s="128" t="s">
        <v>3576</v>
      </c>
      <c r="O2" s="128" t="s">
        <v>3576</v>
      </c>
      <c r="P2" s="128" t="s">
        <v>3576</v>
      </c>
      <c r="Q2" s="128" t="s">
        <v>2746</v>
      </c>
      <c r="R2" s="128" t="s">
        <v>413</v>
      </c>
      <c r="S2" s="128" t="s">
        <v>3577</v>
      </c>
      <c r="T2" s="128"/>
      <c r="U2" s="128"/>
      <c r="V2" s="128"/>
      <c r="W2" s="128"/>
      <c r="X2" s="128"/>
      <c r="Y2" s="128"/>
      <c r="Z2" s="5"/>
      <c r="AA2" s="40"/>
    </row>
    <row r="3">
      <c r="A3" s="114" t="s">
        <v>2748</v>
      </c>
      <c r="B3" s="128" t="s">
        <v>2739</v>
      </c>
      <c r="C3" s="128" t="s">
        <v>3437</v>
      </c>
      <c r="D3" s="187" t="s">
        <v>2749</v>
      </c>
      <c r="E3" s="114" t="s">
        <v>2750</v>
      </c>
      <c r="F3" s="188" t="s">
        <v>2751</v>
      </c>
      <c r="G3" s="114" t="s">
        <v>2752</v>
      </c>
      <c r="H3" s="114" t="s">
        <v>2753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5"/>
      <c r="AA3" s="40"/>
    </row>
    <row r="4">
      <c r="A4" s="114" t="s">
        <v>2756</v>
      </c>
      <c r="B4" s="128" t="s">
        <v>2739</v>
      </c>
      <c r="C4" s="128" t="s">
        <v>3437</v>
      </c>
      <c r="D4" s="113" t="s">
        <v>2757</v>
      </c>
      <c r="E4" s="114" t="s">
        <v>2758</v>
      </c>
      <c r="F4" s="114" t="s">
        <v>2759</v>
      </c>
      <c r="G4" s="128" t="s">
        <v>2760</v>
      </c>
      <c r="H4" s="114" t="s">
        <v>2761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5"/>
      <c r="AA4" s="40"/>
    </row>
    <row r="5">
      <c r="A5" s="114" t="s">
        <v>2762</v>
      </c>
      <c r="B5" s="128" t="s">
        <v>2739</v>
      </c>
      <c r="C5" s="128" t="s">
        <v>3571</v>
      </c>
      <c r="D5" s="118" t="s">
        <v>2763</v>
      </c>
      <c r="E5" s="114" t="s">
        <v>2764</v>
      </c>
      <c r="F5" s="188" t="s">
        <v>2765</v>
      </c>
      <c r="G5" s="128" t="s">
        <v>2766</v>
      </c>
      <c r="H5" s="114" t="s">
        <v>2767</v>
      </c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5"/>
      <c r="AA5" s="40"/>
    </row>
    <row r="6">
      <c r="A6" s="114" t="s">
        <v>2769</v>
      </c>
      <c r="B6" s="128" t="s">
        <v>2739</v>
      </c>
      <c r="C6" s="128" t="s">
        <v>3573</v>
      </c>
      <c r="D6" s="118" t="s">
        <v>2763</v>
      </c>
      <c r="E6" s="114" t="s">
        <v>2770</v>
      </c>
      <c r="F6" s="188" t="s">
        <v>2771</v>
      </c>
      <c r="G6" s="114" t="s">
        <v>2772</v>
      </c>
      <c r="H6" s="114" t="s">
        <v>2773</v>
      </c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5"/>
      <c r="AA6" s="40"/>
    </row>
    <row r="7">
      <c r="A7" s="114" t="s">
        <v>2774</v>
      </c>
      <c r="B7" s="128" t="s">
        <v>2739</v>
      </c>
      <c r="C7" s="128" t="s">
        <v>3424</v>
      </c>
      <c r="D7" s="118" t="s">
        <v>2763</v>
      </c>
      <c r="E7" s="114" t="s">
        <v>2775</v>
      </c>
      <c r="F7" s="129" t="s">
        <v>2776</v>
      </c>
      <c r="G7" s="128" t="s">
        <v>2763</v>
      </c>
      <c r="H7" s="114" t="s">
        <v>2777</v>
      </c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5"/>
      <c r="AA7" s="40"/>
    </row>
    <row r="8">
      <c r="A8" s="114" t="s">
        <v>2778</v>
      </c>
      <c r="B8" s="128" t="s">
        <v>2739</v>
      </c>
      <c r="C8" s="128" t="s">
        <v>90</v>
      </c>
      <c r="D8" s="113" t="s">
        <v>2779</v>
      </c>
      <c r="E8" s="114" t="s">
        <v>2780</v>
      </c>
      <c r="F8" s="188" t="s">
        <v>2781</v>
      </c>
      <c r="G8" s="114" t="s">
        <v>2782</v>
      </c>
      <c r="H8" s="114" t="s">
        <v>2783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5"/>
      <c r="AA8" s="40"/>
    </row>
    <row r="9">
      <c r="A9" s="114" t="s">
        <v>2784</v>
      </c>
      <c r="B9" s="128" t="s">
        <v>2739</v>
      </c>
      <c r="C9" s="128" t="s">
        <v>112</v>
      </c>
      <c r="D9" s="187" t="s">
        <v>2785</v>
      </c>
      <c r="E9" s="114" t="s">
        <v>2786</v>
      </c>
      <c r="F9" s="114" t="s">
        <v>2787</v>
      </c>
      <c r="G9" s="114" t="s">
        <v>2788</v>
      </c>
      <c r="H9" s="114" t="s">
        <v>2789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5"/>
      <c r="AA9" s="40"/>
    </row>
    <row r="10">
      <c r="A10" s="114" t="s">
        <v>2790</v>
      </c>
      <c r="B10" s="128" t="s">
        <v>2739</v>
      </c>
      <c r="C10" s="128" t="s">
        <v>112</v>
      </c>
      <c r="D10" s="118" t="s">
        <v>2763</v>
      </c>
      <c r="E10" s="114" t="s">
        <v>2791</v>
      </c>
      <c r="F10" s="114" t="s">
        <v>2792</v>
      </c>
      <c r="G10" s="114" t="s">
        <v>2793</v>
      </c>
      <c r="H10" s="114" t="s">
        <v>2794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5"/>
      <c r="AA10" s="40"/>
    </row>
    <row r="11">
      <c r="A11" s="114" t="s">
        <v>2795</v>
      </c>
      <c r="B11" s="128" t="s">
        <v>2739</v>
      </c>
      <c r="C11" s="128" t="s">
        <v>112</v>
      </c>
      <c r="D11" s="118" t="s">
        <v>2763</v>
      </c>
      <c r="E11" s="114" t="s">
        <v>2796</v>
      </c>
      <c r="F11" s="114" t="s">
        <v>2797</v>
      </c>
      <c r="G11" s="114" t="s">
        <v>2798</v>
      </c>
      <c r="H11" s="114" t="s">
        <v>2799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5"/>
      <c r="AA11" s="40"/>
    </row>
    <row r="12">
      <c r="A12" s="114" t="s">
        <v>2800</v>
      </c>
      <c r="B12" s="128" t="s">
        <v>2739</v>
      </c>
      <c r="C12" s="128" t="s">
        <v>112</v>
      </c>
      <c r="D12" s="118" t="s">
        <v>2763</v>
      </c>
      <c r="E12" s="114" t="s">
        <v>2801</v>
      </c>
      <c r="F12" s="114" t="s">
        <v>2802</v>
      </c>
      <c r="G12" s="114" t="s">
        <v>2803</v>
      </c>
      <c r="H12" s="114" t="s">
        <v>2804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5"/>
      <c r="AA12" s="40"/>
    </row>
    <row r="13">
      <c r="A13" s="114" t="s">
        <v>2805</v>
      </c>
      <c r="B13" s="128" t="s">
        <v>2739</v>
      </c>
      <c r="C13" s="128" t="s">
        <v>112</v>
      </c>
      <c r="D13" s="118" t="s">
        <v>2763</v>
      </c>
      <c r="E13" s="114" t="s">
        <v>2806</v>
      </c>
      <c r="F13" s="114" t="s">
        <v>2807</v>
      </c>
      <c r="G13" s="114" t="s">
        <v>2808</v>
      </c>
      <c r="H13" s="114" t="s">
        <v>2809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5"/>
      <c r="AA13" s="40"/>
    </row>
    <row r="14">
      <c r="A14" s="114" t="s">
        <v>2810</v>
      </c>
      <c r="B14" s="128" t="s">
        <v>2739</v>
      </c>
      <c r="C14" s="128" t="s">
        <v>112</v>
      </c>
      <c r="D14" s="118" t="s">
        <v>2763</v>
      </c>
      <c r="E14" s="114" t="s">
        <v>2811</v>
      </c>
      <c r="F14" s="114" t="s">
        <v>2812</v>
      </c>
      <c r="G14" s="114" t="s">
        <v>2813</v>
      </c>
      <c r="H14" s="114" t="s">
        <v>2753</v>
      </c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5"/>
      <c r="AA14" s="40"/>
    </row>
    <row r="15">
      <c r="A15" s="114" t="s">
        <v>2814</v>
      </c>
      <c r="B15" s="128" t="s">
        <v>2739</v>
      </c>
      <c r="C15" s="128" t="s">
        <v>112</v>
      </c>
      <c r="D15" s="118" t="s">
        <v>2763</v>
      </c>
      <c r="E15" s="114" t="s">
        <v>2815</v>
      </c>
      <c r="F15" s="114" t="s">
        <v>2816</v>
      </c>
      <c r="G15" s="114" t="s">
        <v>2817</v>
      </c>
      <c r="H15" s="114" t="s">
        <v>2818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44"/>
    </row>
    <row r="16">
      <c r="A16" s="114" t="s">
        <v>2819</v>
      </c>
      <c r="B16" s="128" t="s">
        <v>2739</v>
      </c>
      <c r="C16" s="128" t="s">
        <v>112</v>
      </c>
      <c r="D16" s="118" t="s">
        <v>2763</v>
      </c>
      <c r="E16" s="114" t="s">
        <v>2820</v>
      </c>
      <c r="F16" s="114" t="s">
        <v>2821</v>
      </c>
      <c r="G16" s="114" t="s">
        <v>2822</v>
      </c>
      <c r="H16" s="114" t="s">
        <v>2823</v>
      </c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44"/>
    </row>
    <row r="17">
      <c r="A17" s="114" t="s">
        <v>2824</v>
      </c>
      <c r="B17" s="128" t="s">
        <v>2739</v>
      </c>
      <c r="C17" s="128" t="s">
        <v>112</v>
      </c>
      <c r="D17" s="113" t="s">
        <v>2825</v>
      </c>
      <c r="E17" s="114" t="s">
        <v>2826</v>
      </c>
      <c r="F17" s="114" t="s">
        <v>2827</v>
      </c>
      <c r="G17" s="114" t="s">
        <v>2828</v>
      </c>
      <c r="H17" s="114" t="s">
        <v>2829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44"/>
    </row>
    <row r="18">
      <c r="A18" s="114" t="s">
        <v>2830</v>
      </c>
      <c r="B18" s="128" t="s">
        <v>2739</v>
      </c>
      <c r="C18" s="128" t="s">
        <v>112</v>
      </c>
      <c r="D18" s="118" t="s">
        <v>2763</v>
      </c>
      <c r="E18" s="114" t="s">
        <v>2831</v>
      </c>
      <c r="F18" s="114" t="s">
        <v>2832</v>
      </c>
      <c r="G18" s="114" t="s">
        <v>2833</v>
      </c>
      <c r="H18" s="114" t="s">
        <v>2834</v>
      </c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44"/>
    </row>
    <row r="19">
      <c r="A19" s="114" t="s">
        <v>2835</v>
      </c>
      <c r="B19" s="128" t="s">
        <v>2739</v>
      </c>
      <c r="C19" s="114" t="s">
        <v>211</v>
      </c>
      <c r="D19" s="118"/>
      <c r="E19" s="114" t="s">
        <v>2836</v>
      </c>
      <c r="F19" s="129" t="s">
        <v>2837</v>
      </c>
      <c r="G19" s="114" t="s">
        <v>2838</v>
      </c>
      <c r="H19" s="114" t="s">
        <v>2839</v>
      </c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</row>
    <row r="20">
      <c r="A20" s="114" t="s">
        <v>2840</v>
      </c>
      <c r="B20" s="128" t="s">
        <v>2739</v>
      </c>
      <c r="C20" s="114" t="s">
        <v>211</v>
      </c>
      <c r="D20" s="118"/>
      <c r="E20" s="114" t="s">
        <v>2841</v>
      </c>
      <c r="F20" s="128" t="s">
        <v>2763</v>
      </c>
      <c r="G20" s="114" t="s">
        <v>2842</v>
      </c>
      <c r="H20" s="114" t="s">
        <v>2843</v>
      </c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</row>
    <row r="21">
      <c r="A21" s="114" t="s">
        <v>2844</v>
      </c>
      <c r="B21" s="128" t="s">
        <v>2739</v>
      </c>
      <c r="C21" s="114" t="s">
        <v>211</v>
      </c>
      <c r="D21" s="187" t="s">
        <v>2845</v>
      </c>
      <c r="E21" s="114" t="s">
        <v>2846</v>
      </c>
      <c r="F21" s="129" t="s">
        <v>2847</v>
      </c>
      <c r="G21" s="114" t="s">
        <v>2848</v>
      </c>
      <c r="H21" s="114" t="s">
        <v>2849</v>
      </c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</row>
    <row r="22">
      <c r="A22" s="114" t="s">
        <v>2850</v>
      </c>
      <c r="B22" s="128" t="s">
        <v>2739</v>
      </c>
      <c r="C22" s="114" t="s">
        <v>211</v>
      </c>
      <c r="D22" s="118"/>
      <c r="E22" s="114" t="s">
        <v>2851</v>
      </c>
      <c r="F22" s="188" t="s">
        <v>2852</v>
      </c>
      <c r="G22" s="114" t="s">
        <v>2853</v>
      </c>
      <c r="H22" s="114" t="s">
        <v>2854</v>
      </c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</row>
    <row r="23">
      <c r="A23" s="114" t="s">
        <v>2855</v>
      </c>
      <c r="B23" s="128" t="s">
        <v>2739</v>
      </c>
      <c r="C23" s="114" t="s">
        <v>211</v>
      </c>
      <c r="D23" s="118"/>
      <c r="E23" s="114" t="s">
        <v>1550</v>
      </c>
      <c r="F23" s="129" t="s">
        <v>1551</v>
      </c>
      <c r="G23" s="114" t="s">
        <v>1534</v>
      </c>
      <c r="H23" s="114" t="s">
        <v>2856</v>
      </c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</row>
    <row r="24">
      <c r="A24" s="114" t="s">
        <v>2857</v>
      </c>
      <c r="B24" s="128" t="s">
        <v>2739</v>
      </c>
      <c r="C24" s="114" t="s">
        <v>211</v>
      </c>
      <c r="D24" s="118"/>
      <c r="E24" s="114" t="s">
        <v>2858</v>
      </c>
      <c r="F24" s="129" t="s">
        <v>2859</v>
      </c>
      <c r="G24" s="114" t="s">
        <v>2860</v>
      </c>
      <c r="H24" s="114" t="s">
        <v>2861</v>
      </c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</row>
    <row r="25">
      <c r="A25" s="114" t="s">
        <v>2862</v>
      </c>
      <c r="B25" s="128" t="s">
        <v>2739</v>
      </c>
      <c r="C25" s="114" t="s">
        <v>211</v>
      </c>
      <c r="D25" s="118"/>
      <c r="E25" s="114" t="s">
        <v>2863</v>
      </c>
      <c r="F25" s="129" t="s">
        <v>2864</v>
      </c>
      <c r="G25" s="114" t="s">
        <v>2865</v>
      </c>
      <c r="H25" s="128" t="s">
        <v>2866</v>
      </c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</row>
    <row r="26">
      <c r="A26" s="114" t="s">
        <v>2867</v>
      </c>
      <c r="B26" s="128" t="s">
        <v>2739</v>
      </c>
      <c r="C26" s="114" t="s">
        <v>211</v>
      </c>
      <c r="D26" s="118"/>
      <c r="E26" s="114" t="s">
        <v>2868</v>
      </c>
      <c r="F26" s="129" t="s">
        <v>2869</v>
      </c>
      <c r="G26" s="114" t="s">
        <v>2870</v>
      </c>
      <c r="H26" s="114" t="s">
        <v>2871</v>
      </c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</row>
    <row r="27">
      <c r="A27" s="114" t="s">
        <v>2872</v>
      </c>
      <c r="B27" s="128" t="s">
        <v>2739</v>
      </c>
      <c r="C27" s="114" t="s">
        <v>262</v>
      </c>
      <c r="D27" s="187" t="s">
        <v>2873</v>
      </c>
      <c r="E27" s="114" t="s">
        <v>2874</v>
      </c>
      <c r="F27" s="188" t="s">
        <v>2875</v>
      </c>
      <c r="G27" s="114" t="s">
        <v>2876</v>
      </c>
      <c r="H27" s="114" t="s">
        <v>2877</v>
      </c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>
      <c r="A28" s="114" t="s">
        <v>2878</v>
      </c>
      <c r="B28" s="128" t="s">
        <v>2739</v>
      </c>
      <c r="C28" s="114" t="s">
        <v>262</v>
      </c>
      <c r="D28" s="118"/>
      <c r="E28" s="114" t="s">
        <v>2879</v>
      </c>
      <c r="F28" s="188" t="s">
        <v>2880</v>
      </c>
      <c r="G28" s="114" t="s">
        <v>2881</v>
      </c>
      <c r="H28" s="114" t="s">
        <v>2882</v>
      </c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</row>
    <row r="29">
      <c r="A29" s="114" t="s">
        <v>2883</v>
      </c>
      <c r="B29" s="128" t="s">
        <v>2739</v>
      </c>
      <c r="C29" s="114" t="s">
        <v>262</v>
      </c>
      <c r="D29" s="118"/>
      <c r="E29" s="114" t="s">
        <v>2884</v>
      </c>
      <c r="F29" s="188" t="s">
        <v>2885</v>
      </c>
      <c r="G29" s="114" t="s">
        <v>2886</v>
      </c>
      <c r="H29" s="114" t="s">
        <v>2887</v>
      </c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</row>
    <row r="30">
      <c r="A30" s="114" t="s">
        <v>2888</v>
      </c>
      <c r="B30" s="128" t="s">
        <v>2739</v>
      </c>
      <c r="C30" s="114" t="s">
        <v>262</v>
      </c>
      <c r="D30" s="118"/>
      <c r="E30" s="114" t="s">
        <v>2889</v>
      </c>
      <c r="F30" s="188" t="s">
        <v>2890</v>
      </c>
      <c r="G30" s="114" t="s">
        <v>2891</v>
      </c>
      <c r="H30" s="114" t="s">
        <v>2892</v>
      </c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</row>
    <row r="31">
      <c r="A31" s="114" t="s">
        <v>2893</v>
      </c>
      <c r="B31" s="128" t="s">
        <v>2739</v>
      </c>
      <c r="C31" s="114" t="s">
        <v>262</v>
      </c>
      <c r="D31" s="118"/>
      <c r="E31" s="114" t="s">
        <v>2895</v>
      </c>
      <c r="F31" s="188" t="s">
        <v>2896</v>
      </c>
      <c r="G31" s="114" t="s">
        <v>2897</v>
      </c>
      <c r="H31" s="114" t="s">
        <v>2898</v>
      </c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</row>
    <row r="32">
      <c r="A32" s="128" t="s">
        <v>2899</v>
      </c>
      <c r="B32" s="128" t="s">
        <v>2739</v>
      </c>
      <c r="C32" s="128" t="s">
        <v>388</v>
      </c>
      <c r="D32" s="113" t="s">
        <v>2900</v>
      </c>
      <c r="E32" s="114" t="s">
        <v>2901</v>
      </c>
      <c r="F32" s="188" t="s">
        <v>2902</v>
      </c>
      <c r="G32" s="128"/>
      <c r="H32" s="188" t="s">
        <v>2903</v>
      </c>
      <c r="I32" s="128"/>
      <c r="J32" s="128" t="s">
        <v>413</v>
      </c>
      <c r="K32" s="128"/>
      <c r="L32" s="114" t="s">
        <v>2904</v>
      </c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</row>
    <row r="33">
      <c r="A33" s="128" t="s">
        <v>2905</v>
      </c>
      <c r="B33" s="128" t="s">
        <v>2739</v>
      </c>
      <c r="C33" s="128" t="s">
        <v>250</v>
      </c>
      <c r="D33" s="113" t="s">
        <v>2906</v>
      </c>
      <c r="E33" s="114" t="s">
        <v>2907</v>
      </c>
      <c r="F33" s="128"/>
      <c r="G33" s="128"/>
      <c r="H33" s="114" t="s">
        <v>2908</v>
      </c>
      <c r="I33" s="128"/>
      <c r="J33" s="128"/>
      <c r="K33" s="128"/>
      <c r="L33" s="114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</row>
    <row r="34">
      <c r="A34" s="128" t="s">
        <v>3578</v>
      </c>
      <c r="B34" s="128" t="s">
        <v>2739</v>
      </c>
      <c r="C34" s="128"/>
      <c r="D34" s="11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</row>
    <row r="35">
      <c r="A35" s="129" t="s">
        <v>2909</v>
      </c>
      <c r="B35" s="128" t="s">
        <v>2739</v>
      </c>
      <c r="C35" s="128" t="s">
        <v>3443</v>
      </c>
      <c r="D35" s="118"/>
      <c r="E35" s="114" t="s">
        <v>2910</v>
      </c>
      <c r="F35" s="114" t="s">
        <v>2911</v>
      </c>
      <c r="G35" s="128"/>
      <c r="H35" s="114" t="s">
        <v>2912</v>
      </c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</row>
    <row r="36">
      <c r="D36" s="126"/>
    </row>
    <row r="37">
      <c r="D37" s="126"/>
    </row>
    <row r="38">
      <c r="D38" s="126"/>
    </row>
    <row r="39">
      <c r="D39" s="126"/>
    </row>
    <row r="40">
      <c r="D40" s="126"/>
    </row>
    <row r="41">
      <c r="D41" s="126"/>
    </row>
    <row r="42">
      <c r="D42" s="126"/>
    </row>
    <row r="43">
      <c r="D43" s="126"/>
    </row>
    <row r="44">
      <c r="D44" s="126"/>
    </row>
    <row r="45">
      <c r="D45" s="126"/>
    </row>
    <row r="46">
      <c r="D46" s="126"/>
    </row>
    <row r="47">
      <c r="D47" s="126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</sheetData>
  <hyperlinks>
    <hyperlink r:id="rId1" ref="D2"/>
    <hyperlink r:id="rId2" ref="D3"/>
    <hyperlink r:id="rId3" ref="F3"/>
    <hyperlink r:id="rId4" ref="D4"/>
    <hyperlink r:id="rId5" ref="F5"/>
    <hyperlink r:id="rId6" ref="F6"/>
    <hyperlink r:id="rId7" ref="F7"/>
    <hyperlink r:id="rId8" ref="D8"/>
    <hyperlink r:id="rId9" ref="F8"/>
    <hyperlink r:id="rId10" ref="D9"/>
    <hyperlink r:id="rId11" ref="D17"/>
    <hyperlink r:id="rId12" ref="F19"/>
    <hyperlink r:id="rId13" ref="D21"/>
    <hyperlink r:id="rId14" ref="F21"/>
    <hyperlink r:id="rId15" ref="F22"/>
    <hyperlink r:id="rId16" ref="F23"/>
    <hyperlink r:id="rId17" ref="F24"/>
    <hyperlink r:id="rId18" ref="F25"/>
    <hyperlink r:id="rId19" ref="F26"/>
    <hyperlink r:id="rId20" ref="D27"/>
    <hyperlink r:id="rId21" ref="F27"/>
    <hyperlink r:id="rId22" ref="F28"/>
    <hyperlink r:id="rId23" ref="F29"/>
    <hyperlink r:id="rId24" ref="F30"/>
    <hyperlink r:id="rId25" ref="F31"/>
    <hyperlink r:id="rId26" ref="D32"/>
    <hyperlink r:id="rId27" ref="F32"/>
    <hyperlink r:id="rId28" ref="H32"/>
    <hyperlink r:id="rId29" ref="D33"/>
    <hyperlink r:id="rId30" ref="A35"/>
  </hyperlinks>
  <drawing r:id="rId3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1.29"/>
    <col customWidth="1" min="3" max="3" width="11.86"/>
    <col customWidth="1" min="4" max="4" width="47.43"/>
    <col customWidth="1" min="5" max="5" width="13.43"/>
    <col customWidth="1" min="6" max="6" width="23.0"/>
    <col customWidth="1" min="7" max="7" width="16.0"/>
    <col customWidth="1" min="8" max="8" width="25.86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25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7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40"/>
    </row>
    <row r="2">
      <c r="A2" s="36" t="s">
        <v>3230</v>
      </c>
      <c r="B2" s="37" t="s">
        <v>3231</v>
      </c>
      <c r="C2" s="37" t="s">
        <v>3232</v>
      </c>
      <c r="D2" s="38" t="s">
        <v>3233</v>
      </c>
      <c r="E2" s="36" t="s">
        <v>3234</v>
      </c>
      <c r="F2" s="36" t="s">
        <v>3235</v>
      </c>
      <c r="G2" s="36"/>
      <c r="H2" s="39" t="s">
        <v>3236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5"/>
      <c r="AA2" s="40"/>
    </row>
    <row r="3">
      <c r="A3" s="36" t="s">
        <v>3237</v>
      </c>
      <c r="B3" s="37" t="s">
        <v>3231</v>
      </c>
      <c r="C3" s="37" t="s">
        <v>90</v>
      </c>
      <c r="D3" s="38" t="s">
        <v>3238</v>
      </c>
      <c r="E3" s="36" t="s">
        <v>3239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5"/>
      <c r="AA3" s="40"/>
    </row>
    <row r="4">
      <c r="A4" s="36" t="s">
        <v>3240</v>
      </c>
      <c r="B4" s="37" t="s">
        <v>3231</v>
      </c>
      <c r="C4" s="37" t="s">
        <v>90</v>
      </c>
      <c r="D4" s="38" t="s">
        <v>3241</v>
      </c>
      <c r="E4" s="36" t="s">
        <v>3242</v>
      </c>
      <c r="F4" s="36" t="s">
        <v>3243</v>
      </c>
      <c r="G4" s="37"/>
      <c r="H4" s="36" t="s">
        <v>3244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5"/>
      <c r="AA4" s="40"/>
    </row>
    <row r="5">
      <c r="A5" s="36" t="s">
        <v>3245</v>
      </c>
      <c r="B5" s="37" t="s">
        <v>3231</v>
      </c>
      <c r="C5" s="37" t="s">
        <v>90</v>
      </c>
      <c r="D5" s="42"/>
      <c r="E5" s="36" t="s">
        <v>3246</v>
      </c>
      <c r="F5" s="37"/>
      <c r="G5" s="37"/>
      <c r="H5" s="37" t="s">
        <v>3247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5"/>
      <c r="AA5" s="40"/>
    </row>
    <row r="6">
      <c r="A6" s="36" t="s">
        <v>3248</v>
      </c>
      <c r="B6" s="37" t="s">
        <v>3231</v>
      </c>
      <c r="C6" s="37" t="s">
        <v>90</v>
      </c>
      <c r="D6" s="42"/>
      <c r="E6" s="36" t="s">
        <v>3246</v>
      </c>
      <c r="F6" s="37"/>
      <c r="G6" s="37"/>
      <c r="H6" s="37" t="s">
        <v>3249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5"/>
      <c r="AA6" s="40"/>
    </row>
    <row r="7">
      <c r="A7" s="37" t="s">
        <v>3250</v>
      </c>
      <c r="B7" s="37" t="s">
        <v>3231</v>
      </c>
      <c r="C7" s="37" t="s">
        <v>400</v>
      </c>
      <c r="D7" s="38" t="s">
        <v>3251</v>
      </c>
      <c r="E7" s="36" t="s">
        <v>3252</v>
      </c>
      <c r="F7" s="36" t="s">
        <v>3253</v>
      </c>
      <c r="G7" s="36" t="s">
        <v>3254</v>
      </c>
      <c r="H7" s="36" t="s">
        <v>3255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5"/>
      <c r="AA7" s="40"/>
    </row>
    <row r="8">
      <c r="A8" s="36" t="s">
        <v>3256</v>
      </c>
      <c r="B8" s="37" t="s">
        <v>3231</v>
      </c>
      <c r="C8" s="37" t="s">
        <v>262</v>
      </c>
      <c r="D8" s="38" t="s">
        <v>3257</v>
      </c>
      <c r="E8" s="36">
        <v>5.5581236E7</v>
      </c>
      <c r="F8" s="36" t="s">
        <v>3258</v>
      </c>
      <c r="G8" s="36" t="s">
        <v>3259</v>
      </c>
      <c r="H8" s="37" t="s">
        <v>3249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5"/>
      <c r="AA8" s="40"/>
    </row>
    <row r="9">
      <c r="A9" s="36" t="s">
        <v>3260</v>
      </c>
      <c r="B9" s="37" t="s">
        <v>3231</v>
      </c>
      <c r="C9" s="37" t="s">
        <v>262</v>
      </c>
      <c r="D9" s="38" t="s">
        <v>3261</v>
      </c>
      <c r="E9" s="36">
        <v>5.3797608E7</v>
      </c>
      <c r="F9" s="36" t="s">
        <v>3262</v>
      </c>
      <c r="G9" s="36" t="s">
        <v>3263</v>
      </c>
      <c r="H9" s="36" t="s">
        <v>3264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"/>
      <c r="AA9" s="40"/>
    </row>
    <row r="10">
      <c r="A10" s="36" t="s">
        <v>3265</v>
      </c>
      <c r="B10" s="37" t="s">
        <v>3231</v>
      </c>
      <c r="C10" s="37" t="s">
        <v>262</v>
      </c>
      <c r="D10" s="38" t="s">
        <v>3266</v>
      </c>
      <c r="E10" s="36">
        <v>5.6981116E7</v>
      </c>
      <c r="F10" s="36" t="s">
        <v>3267</v>
      </c>
      <c r="G10" s="36" t="s">
        <v>3268</v>
      </c>
      <c r="H10" s="36" t="s">
        <v>3269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5"/>
      <c r="AA10" s="40"/>
    </row>
    <row r="11">
      <c r="A11" s="36" t="s">
        <v>3270</v>
      </c>
      <c r="B11" s="37" t="s">
        <v>3231</v>
      </c>
      <c r="C11" s="37" t="s">
        <v>262</v>
      </c>
      <c r="D11" s="38" t="s">
        <v>3271</v>
      </c>
      <c r="E11" s="36">
        <v>5.3657396E7</v>
      </c>
      <c r="F11" s="36" t="s">
        <v>3272</v>
      </c>
      <c r="G11" s="36" t="s">
        <v>3273</v>
      </c>
      <c r="H11" s="36" t="s">
        <v>3274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5"/>
      <c r="AA11" s="40"/>
    </row>
    <row r="12">
      <c r="A12" s="36" t="s">
        <v>3275</v>
      </c>
      <c r="B12" s="37" t="s">
        <v>3231</v>
      </c>
      <c r="C12" s="37" t="s">
        <v>112</v>
      </c>
      <c r="D12" s="42" t="s">
        <v>2763</v>
      </c>
      <c r="E12" s="36" t="s">
        <v>3276</v>
      </c>
      <c r="F12" s="36" t="s">
        <v>3277</v>
      </c>
      <c r="G12" s="36" t="s">
        <v>3278</v>
      </c>
      <c r="H12" s="36" t="s">
        <v>3269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5"/>
      <c r="AA12" s="40"/>
    </row>
    <row r="13">
      <c r="A13" s="37" t="s">
        <v>3279</v>
      </c>
      <c r="B13" s="37" t="s">
        <v>3231</v>
      </c>
      <c r="C13" s="37" t="s">
        <v>112</v>
      </c>
      <c r="D13" s="42" t="s">
        <v>3280</v>
      </c>
      <c r="E13" s="36" t="s">
        <v>3281</v>
      </c>
      <c r="F13" s="36" t="s">
        <v>3282</v>
      </c>
      <c r="G13" s="36" t="s">
        <v>3283</v>
      </c>
      <c r="H13" s="36" t="s">
        <v>3264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5"/>
      <c r="AA13" s="40"/>
    </row>
    <row r="14">
      <c r="A14" s="37" t="s">
        <v>3284</v>
      </c>
      <c r="B14" s="37" t="s">
        <v>3231</v>
      </c>
      <c r="C14" s="37" t="s">
        <v>112</v>
      </c>
      <c r="D14" s="42" t="s">
        <v>2763</v>
      </c>
      <c r="E14" s="36" t="s">
        <v>3246</v>
      </c>
      <c r="F14" s="36" t="s">
        <v>3285</v>
      </c>
      <c r="G14" s="36" t="s">
        <v>3286</v>
      </c>
      <c r="H14" s="36" t="s">
        <v>3287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5"/>
      <c r="AA14" s="40"/>
    </row>
    <row r="15">
      <c r="A15" s="37" t="s">
        <v>3288</v>
      </c>
      <c r="B15" s="37" t="s">
        <v>3231</v>
      </c>
      <c r="C15" s="37" t="s">
        <v>112</v>
      </c>
      <c r="D15" s="42"/>
      <c r="E15" s="36" t="s">
        <v>3289</v>
      </c>
      <c r="F15" s="36" t="s">
        <v>3290</v>
      </c>
      <c r="G15" s="36" t="s">
        <v>3291</v>
      </c>
      <c r="H15" s="36" t="s">
        <v>3292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5"/>
      <c r="AA15" s="40"/>
    </row>
    <row r="16">
      <c r="A16" s="36" t="s">
        <v>3293</v>
      </c>
      <c r="B16" s="37" t="s">
        <v>3231</v>
      </c>
      <c r="C16" s="37" t="s">
        <v>112</v>
      </c>
      <c r="D16" s="42"/>
      <c r="E16" s="36" t="s">
        <v>3294</v>
      </c>
      <c r="F16" s="36" t="s">
        <v>3295</v>
      </c>
      <c r="G16" s="36" t="s">
        <v>3296</v>
      </c>
      <c r="H16" s="36" t="s">
        <v>3297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5"/>
      <c r="AA16" s="40"/>
    </row>
    <row r="17">
      <c r="A17" s="36" t="s">
        <v>3298</v>
      </c>
      <c r="B17" s="37" t="s">
        <v>3231</v>
      </c>
      <c r="C17" s="37" t="s">
        <v>112</v>
      </c>
      <c r="D17" s="38" t="s">
        <v>3299</v>
      </c>
      <c r="E17" s="36" t="s">
        <v>3300</v>
      </c>
      <c r="F17" s="36" t="s">
        <v>3301</v>
      </c>
      <c r="G17" s="36" t="s">
        <v>3278</v>
      </c>
      <c r="H17" s="36" t="s">
        <v>3302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5"/>
      <c r="AA17" s="40"/>
    </row>
    <row r="18">
      <c r="A18" s="36" t="s">
        <v>3303</v>
      </c>
      <c r="B18" s="37" t="s">
        <v>3231</v>
      </c>
      <c r="C18" s="37" t="s">
        <v>388</v>
      </c>
      <c r="D18" s="38" t="s">
        <v>3304</v>
      </c>
      <c r="E18" s="36" t="s">
        <v>3305</v>
      </c>
      <c r="F18" s="36" t="s">
        <v>3306</v>
      </c>
      <c r="G18" s="36" t="s">
        <v>3307</v>
      </c>
      <c r="H18" s="36" t="s">
        <v>3308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5"/>
      <c r="AA18" s="40"/>
    </row>
    <row r="19">
      <c r="A19" s="36" t="s">
        <v>3309</v>
      </c>
      <c r="B19" s="37" t="s">
        <v>3231</v>
      </c>
      <c r="C19" s="37" t="s">
        <v>388</v>
      </c>
      <c r="D19" s="38" t="s">
        <v>3304</v>
      </c>
      <c r="E19" s="36" t="s">
        <v>3310</v>
      </c>
      <c r="F19" s="37"/>
      <c r="G19" s="36" t="s">
        <v>3311</v>
      </c>
      <c r="H19" s="36" t="s">
        <v>3312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5"/>
      <c r="AA19" s="40"/>
    </row>
    <row r="20">
      <c r="A20" s="36" t="s">
        <v>3313</v>
      </c>
      <c r="B20" s="37" t="s">
        <v>3231</v>
      </c>
      <c r="C20" s="37" t="s">
        <v>388</v>
      </c>
      <c r="D20" s="38" t="s">
        <v>3304</v>
      </c>
      <c r="E20" s="36" t="s">
        <v>3314</v>
      </c>
      <c r="F20" s="36" t="s">
        <v>3315</v>
      </c>
      <c r="G20" s="36" t="s">
        <v>3316</v>
      </c>
      <c r="H20" s="36" t="s">
        <v>3269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5"/>
      <c r="AA20" s="40"/>
    </row>
    <row r="21">
      <c r="A21" s="36" t="s">
        <v>3317</v>
      </c>
      <c r="B21" s="37" t="s">
        <v>3231</v>
      </c>
      <c r="C21" s="37" t="s">
        <v>3418</v>
      </c>
      <c r="D21" s="42"/>
      <c r="E21" s="36" t="s">
        <v>3318</v>
      </c>
      <c r="F21" s="36" t="s">
        <v>3319</v>
      </c>
      <c r="G21" s="36" t="s">
        <v>3320</v>
      </c>
      <c r="H21" s="36" t="s">
        <v>3321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5"/>
      <c r="AA21" s="40"/>
    </row>
    <row r="22">
      <c r="A22" s="36" t="s">
        <v>3322</v>
      </c>
      <c r="B22" s="37" t="s">
        <v>3231</v>
      </c>
      <c r="C22" s="37" t="s">
        <v>3418</v>
      </c>
      <c r="D22" s="42"/>
      <c r="E22" s="36" t="s">
        <v>3318</v>
      </c>
      <c r="F22" s="36" t="s">
        <v>3319</v>
      </c>
      <c r="G22" s="36" t="s">
        <v>3320</v>
      </c>
      <c r="H22" s="36" t="s">
        <v>3292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44"/>
    </row>
    <row r="23">
      <c r="A23" s="36" t="s">
        <v>3323</v>
      </c>
      <c r="B23" s="37" t="s">
        <v>3231</v>
      </c>
      <c r="C23" s="37" t="s">
        <v>3418</v>
      </c>
      <c r="D23" s="42"/>
      <c r="E23" s="36" t="s">
        <v>3324</v>
      </c>
      <c r="F23" s="36" t="s">
        <v>3325</v>
      </c>
      <c r="G23" s="36" t="s">
        <v>3326</v>
      </c>
      <c r="H23" s="36" t="s">
        <v>3327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44"/>
    </row>
    <row r="24">
      <c r="A24" s="36" t="s">
        <v>3328</v>
      </c>
      <c r="B24" s="37" t="s">
        <v>3231</v>
      </c>
      <c r="C24" s="37" t="s">
        <v>3418</v>
      </c>
      <c r="D24" s="38" t="s">
        <v>3329</v>
      </c>
      <c r="E24" s="36" t="s">
        <v>3330</v>
      </c>
      <c r="F24" s="36" t="s">
        <v>3331</v>
      </c>
      <c r="G24" s="36" t="s">
        <v>3332</v>
      </c>
      <c r="H24" s="36" t="s">
        <v>3333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44"/>
    </row>
    <row r="25">
      <c r="A25" s="45" t="s">
        <v>3334</v>
      </c>
      <c r="B25" s="37" t="s">
        <v>3231</v>
      </c>
      <c r="C25" s="37" t="s">
        <v>3571</v>
      </c>
      <c r="D25" s="38" t="s">
        <v>3335</v>
      </c>
      <c r="E25" s="36" t="s">
        <v>3336</v>
      </c>
      <c r="F25" s="36" t="s">
        <v>3337</v>
      </c>
      <c r="G25" s="36" t="s">
        <v>3338</v>
      </c>
      <c r="H25" s="36" t="s">
        <v>3292</v>
      </c>
      <c r="I25" s="37"/>
      <c r="J25" s="37" t="s">
        <v>413</v>
      </c>
      <c r="K25" s="41" t="s">
        <v>35</v>
      </c>
      <c r="L25" s="37">
        <v>300.0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 t="s">
        <v>3579</v>
      </c>
      <c r="X25" s="37" t="s">
        <v>414</v>
      </c>
      <c r="Y25" s="37"/>
      <c r="Z25" s="44"/>
    </row>
    <row r="26">
      <c r="A26" s="45" t="s">
        <v>3340</v>
      </c>
      <c r="B26" s="37" t="s">
        <v>3231</v>
      </c>
      <c r="C26" s="37" t="s">
        <v>3571</v>
      </c>
      <c r="D26" s="38" t="s">
        <v>3341</v>
      </c>
      <c r="E26" s="36" t="s">
        <v>3342</v>
      </c>
      <c r="F26" s="36" t="s">
        <v>3343</v>
      </c>
      <c r="G26" s="36" t="s">
        <v>3344</v>
      </c>
      <c r="H26" s="36" t="s">
        <v>3345</v>
      </c>
      <c r="I26" s="37"/>
      <c r="J26" s="37" t="s">
        <v>413</v>
      </c>
      <c r="K26" s="41" t="s">
        <v>543</v>
      </c>
      <c r="L26" s="37"/>
      <c r="M26" s="37"/>
      <c r="N26" s="41" t="s">
        <v>37</v>
      </c>
      <c r="O26" s="37"/>
      <c r="P26" s="37"/>
      <c r="Q26" s="37"/>
      <c r="R26" s="37" t="s">
        <v>413</v>
      </c>
      <c r="S26" s="37"/>
      <c r="T26" s="37"/>
      <c r="U26" s="37" t="s">
        <v>1653</v>
      </c>
      <c r="V26" s="37"/>
      <c r="W26" s="37" t="s">
        <v>3579</v>
      </c>
      <c r="X26" s="37" t="s">
        <v>414</v>
      </c>
      <c r="Y26" s="37"/>
    </row>
    <row r="27">
      <c r="A27" s="45" t="s">
        <v>3346</v>
      </c>
      <c r="B27" s="37" t="s">
        <v>3231</v>
      </c>
      <c r="C27" s="37" t="s">
        <v>3571</v>
      </c>
      <c r="D27" s="38" t="s">
        <v>3347</v>
      </c>
      <c r="E27" s="36" t="s">
        <v>3348</v>
      </c>
      <c r="F27" s="37"/>
      <c r="G27" s="36" t="s">
        <v>3349</v>
      </c>
      <c r="H27" s="37" t="s">
        <v>3350</v>
      </c>
      <c r="I27" s="37"/>
      <c r="J27" s="37" t="s">
        <v>413</v>
      </c>
      <c r="K27" s="41" t="s">
        <v>35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 t="s">
        <v>3579</v>
      </c>
      <c r="X27" s="37" t="s">
        <v>414</v>
      </c>
      <c r="Y27" s="37"/>
    </row>
    <row r="28">
      <c r="A28" s="45" t="s">
        <v>3351</v>
      </c>
      <c r="B28" s="37" t="s">
        <v>3231</v>
      </c>
      <c r="C28" s="37" t="s">
        <v>3437</v>
      </c>
      <c r="D28" s="38" t="s">
        <v>3352</v>
      </c>
      <c r="E28" s="36" t="s">
        <v>3342</v>
      </c>
      <c r="F28" s="36" t="s">
        <v>3343</v>
      </c>
      <c r="G28" s="36" t="s">
        <v>3344</v>
      </c>
      <c r="H28" s="37" t="s">
        <v>3249</v>
      </c>
      <c r="I28" s="37"/>
      <c r="J28" s="37" t="s">
        <v>413</v>
      </c>
      <c r="K28" s="41" t="s">
        <v>35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 t="s">
        <v>3579</v>
      </c>
      <c r="X28" s="37" t="s">
        <v>414</v>
      </c>
      <c r="Y28" s="37"/>
    </row>
    <row r="29">
      <c r="A29" s="45" t="s">
        <v>3353</v>
      </c>
      <c r="B29" s="37" t="s">
        <v>3231</v>
      </c>
      <c r="C29" s="37" t="s">
        <v>3437</v>
      </c>
      <c r="D29" s="38" t="s">
        <v>3354</v>
      </c>
      <c r="E29" s="36" t="s">
        <v>3336</v>
      </c>
      <c r="F29" s="36" t="s">
        <v>3337</v>
      </c>
      <c r="G29" s="36" t="s">
        <v>3338</v>
      </c>
      <c r="H29" s="36" t="s">
        <v>3355</v>
      </c>
      <c r="I29" s="37"/>
      <c r="J29" s="37" t="s">
        <v>413</v>
      </c>
      <c r="K29" s="41" t="s">
        <v>543</v>
      </c>
      <c r="L29" s="37"/>
      <c r="M29" s="37"/>
      <c r="N29" s="37"/>
      <c r="O29" s="37"/>
      <c r="P29" s="37"/>
      <c r="Q29" s="37"/>
      <c r="R29" s="37" t="s">
        <v>413</v>
      </c>
      <c r="S29" s="37"/>
      <c r="T29" s="37"/>
      <c r="U29" s="37"/>
      <c r="V29" s="37"/>
      <c r="W29" s="37" t="s">
        <v>3579</v>
      </c>
      <c r="X29" s="37" t="s">
        <v>414</v>
      </c>
      <c r="Y29" s="37"/>
    </row>
    <row r="30">
      <c r="D30" s="126"/>
    </row>
    <row r="31">
      <c r="D31" s="126"/>
    </row>
    <row r="32">
      <c r="D32" s="126"/>
    </row>
    <row r="33">
      <c r="D33" s="126"/>
    </row>
    <row r="34">
      <c r="D34" s="126"/>
    </row>
    <row r="35">
      <c r="D35" s="126"/>
    </row>
    <row r="36">
      <c r="D36" s="126"/>
    </row>
    <row r="37">
      <c r="D37" s="126"/>
    </row>
    <row r="38">
      <c r="D38" s="126"/>
    </row>
    <row r="39">
      <c r="D39" s="126"/>
    </row>
    <row r="40">
      <c r="D40" s="126"/>
    </row>
    <row r="41">
      <c r="D41" s="126"/>
    </row>
    <row r="42">
      <c r="D42" s="126"/>
    </row>
    <row r="43">
      <c r="D43" s="126"/>
    </row>
    <row r="44">
      <c r="D44" s="126"/>
    </row>
    <row r="45">
      <c r="D45" s="126"/>
    </row>
    <row r="46">
      <c r="D46" s="126"/>
    </row>
    <row r="47">
      <c r="D47" s="126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  <row r="1001">
      <c r="D1001" s="126"/>
    </row>
    <row r="1002">
      <c r="D1002" s="126"/>
    </row>
    <row r="1003">
      <c r="D1003" s="126"/>
    </row>
    <row r="1004">
      <c r="D1004" s="126"/>
    </row>
    <row r="1005">
      <c r="D1005" s="126"/>
    </row>
    <row r="1006">
      <c r="D1006" s="126"/>
    </row>
    <row r="1007">
      <c r="D1007" s="126"/>
    </row>
  </sheetData>
  <hyperlinks>
    <hyperlink r:id="rId1" ref="D2"/>
    <hyperlink r:id="rId2" ref="D3"/>
    <hyperlink r:id="rId3" ref="D4"/>
    <hyperlink r:id="rId4" ref="D7"/>
    <hyperlink r:id="rId5" ref="D8"/>
    <hyperlink r:id="rId6" ref="D9"/>
    <hyperlink r:id="rId7" ref="D10"/>
    <hyperlink r:id="rId8" ref="D11"/>
    <hyperlink r:id="rId9" ref="D17"/>
    <hyperlink r:id="rId10" ref="D18"/>
    <hyperlink r:id="rId11" ref="D19"/>
    <hyperlink r:id="rId12" ref="D20"/>
    <hyperlink r:id="rId13" ref="D24"/>
    <hyperlink r:id="rId14" ref="A25"/>
    <hyperlink r:id="rId15" ref="D25"/>
    <hyperlink r:id="rId16" ref="A26"/>
    <hyperlink r:id="rId17" ref="D26"/>
    <hyperlink r:id="rId18" ref="A27"/>
    <hyperlink r:id="rId19" ref="D27"/>
    <hyperlink r:id="rId20" ref="A28"/>
    <hyperlink r:id="rId21" ref="D28"/>
    <hyperlink r:id="rId22" ref="A29"/>
    <hyperlink r:id="rId23" ref="D29"/>
  </hyperlinks>
  <drawing r:id="rId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1.29"/>
    <col customWidth="1" min="3" max="3" width="12.29"/>
    <col customWidth="1" min="4" max="4" width="75.43"/>
    <col customWidth="1" min="5" max="5" width="13.43"/>
    <col customWidth="1" min="6" max="6" width="30.29"/>
    <col customWidth="1" min="7" max="7" width="16.0"/>
    <col customWidth="1" min="8" max="8" width="43.29"/>
    <col customWidth="1" min="9" max="9" width="17.86"/>
    <col customWidth="1" min="10" max="10" width="13.86"/>
    <col customWidth="1" min="11" max="11" width="19.29"/>
    <col customWidth="1" min="12" max="12" width="14.57"/>
    <col customWidth="1" min="13" max="13" width="17.14"/>
    <col customWidth="1" min="14" max="14" width="22.0"/>
    <col customWidth="1" min="15" max="15" width="24.14"/>
    <col customWidth="1" min="16" max="16" width="22.43"/>
    <col customWidth="1" min="17" max="17" width="19.14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4" width="13.0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7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40"/>
    </row>
    <row r="2">
      <c r="A2" s="36" t="s">
        <v>2913</v>
      </c>
      <c r="B2" s="37" t="s">
        <v>2914</v>
      </c>
      <c r="C2" s="37" t="s">
        <v>3437</v>
      </c>
      <c r="D2" s="42"/>
      <c r="E2" s="36" t="s">
        <v>2916</v>
      </c>
      <c r="F2" s="189" t="s">
        <v>2917</v>
      </c>
      <c r="G2" s="36" t="s">
        <v>2918</v>
      </c>
      <c r="H2" s="36" t="s">
        <v>2919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5"/>
      <c r="AA2" s="40"/>
    </row>
    <row r="3">
      <c r="A3" s="36" t="s">
        <v>2920</v>
      </c>
      <c r="B3" s="37" t="s">
        <v>2914</v>
      </c>
      <c r="C3" s="37" t="s">
        <v>3437</v>
      </c>
      <c r="D3" s="42"/>
      <c r="E3" s="36" t="s">
        <v>2922</v>
      </c>
      <c r="F3" s="189" t="s">
        <v>2923</v>
      </c>
      <c r="G3" s="36" t="s">
        <v>2924</v>
      </c>
      <c r="H3" s="36" t="s">
        <v>2925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5"/>
      <c r="AA3" s="40"/>
    </row>
    <row r="4">
      <c r="A4" s="36" t="s">
        <v>2926</v>
      </c>
      <c r="B4" s="37" t="s">
        <v>2914</v>
      </c>
      <c r="C4" s="37" t="s">
        <v>3437</v>
      </c>
      <c r="D4" s="42"/>
      <c r="E4" s="36" t="s">
        <v>2927</v>
      </c>
      <c r="F4" s="189" t="s">
        <v>2928</v>
      </c>
      <c r="G4" s="36" t="s">
        <v>2929</v>
      </c>
      <c r="H4" s="36" t="s">
        <v>2930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5"/>
      <c r="AA4" s="40"/>
    </row>
    <row r="5">
      <c r="A5" s="36" t="s">
        <v>2931</v>
      </c>
      <c r="B5" s="37" t="s">
        <v>2914</v>
      </c>
      <c r="C5" s="37" t="s">
        <v>3437</v>
      </c>
      <c r="D5" s="42"/>
      <c r="E5" s="36" t="s">
        <v>2933</v>
      </c>
      <c r="F5" s="189" t="s">
        <v>2934</v>
      </c>
      <c r="G5" s="36" t="s">
        <v>2935</v>
      </c>
      <c r="H5" s="36" t="s">
        <v>2936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5"/>
      <c r="AA5" s="40"/>
    </row>
    <row r="6">
      <c r="A6" s="36" t="s">
        <v>2931</v>
      </c>
      <c r="B6" s="37" t="s">
        <v>2914</v>
      </c>
      <c r="C6" s="37" t="s">
        <v>3437</v>
      </c>
      <c r="D6" s="42"/>
      <c r="E6" s="36" t="s">
        <v>2933</v>
      </c>
      <c r="F6" s="189" t="s">
        <v>2934</v>
      </c>
      <c r="G6" s="36" t="s">
        <v>2935</v>
      </c>
      <c r="H6" s="36" t="s">
        <v>2936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5"/>
      <c r="AA6" s="40"/>
    </row>
    <row r="7">
      <c r="A7" s="45" t="s">
        <v>2937</v>
      </c>
      <c r="B7" s="37" t="s">
        <v>2914</v>
      </c>
      <c r="C7" s="37" t="s">
        <v>3437</v>
      </c>
      <c r="D7" s="38" t="s">
        <v>2938</v>
      </c>
      <c r="E7" s="37"/>
      <c r="F7" s="189" t="s">
        <v>2939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5"/>
      <c r="AA7" s="40"/>
    </row>
    <row r="8">
      <c r="A8" s="36" t="s">
        <v>2940</v>
      </c>
      <c r="B8" s="37" t="s">
        <v>2914</v>
      </c>
      <c r="C8" s="37" t="s">
        <v>112</v>
      </c>
      <c r="D8" s="42"/>
      <c r="E8" s="36" t="s">
        <v>2941</v>
      </c>
      <c r="F8" s="189" t="s">
        <v>2942</v>
      </c>
      <c r="G8" s="36" t="s">
        <v>2943</v>
      </c>
      <c r="H8" s="36" t="s">
        <v>2944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5"/>
      <c r="AA8" s="40"/>
    </row>
    <row r="9">
      <c r="A9" s="45" t="s">
        <v>2945</v>
      </c>
      <c r="B9" s="37" t="s">
        <v>2914</v>
      </c>
      <c r="C9" s="37" t="s">
        <v>112</v>
      </c>
      <c r="D9" s="42"/>
      <c r="E9" s="36" t="s">
        <v>2946</v>
      </c>
      <c r="F9" s="189" t="s">
        <v>2947</v>
      </c>
      <c r="G9" s="36" t="s">
        <v>2948</v>
      </c>
      <c r="H9" s="36" t="s">
        <v>2949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"/>
      <c r="AA9" s="40"/>
    </row>
    <row r="10">
      <c r="A10" s="36" t="s">
        <v>2950</v>
      </c>
      <c r="B10" s="37" t="s">
        <v>2914</v>
      </c>
      <c r="C10" s="37" t="s">
        <v>112</v>
      </c>
      <c r="D10" s="42"/>
      <c r="E10" s="36" t="s">
        <v>2951</v>
      </c>
      <c r="F10" s="189" t="s">
        <v>2952</v>
      </c>
      <c r="G10" s="36" t="s">
        <v>2953</v>
      </c>
      <c r="H10" s="36" t="s">
        <v>2954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5"/>
      <c r="AA10" s="40"/>
    </row>
    <row r="11">
      <c r="A11" s="36" t="s">
        <v>2955</v>
      </c>
      <c r="B11" s="37" t="s">
        <v>2914</v>
      </c>
      <c r="C11" s="37" t="s">
        <v>112</v>
      </c>
      <c r="D11" s="42"/>
      <c r="E11" s="36" t="s">
        <v>2951</v>
      </c>
      <c r="F11" s="189" t="s">
        <v>2952</v>
      </c>
      <c r="G11" s="36" t="s">
        <v>2953</v>
      </c>
      <c r="H11" s="36" t="s">
        <v>2956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5"/>
      <c r="AA11" s="40"/>
    </row>
    <row r="12">
      <c r="A12" s="36" t="s">
        <v>2957</v>
      </c>
      <c r="B12" s="37" t="s">
        <v>2914</v>
      </c>
      <c r="C12" s="37" t="s">
        <v>112</v>
      </c>
      <c r="D12" s="42"/>
      <c r="E12" s="36" t="s">
        <v>2958</v>
      </c>
      <c r="F12" s="189" t="s">
        <v>2959</v>
      </c>
      <c r="G12" s="36" t="s">
        <v>2960</v>
      </c>
      <c r="H12" s="36" t="s">
        <v>2961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5"/>
      <c r="AA12" s="40"/>
    </row>
    <row r="13">
      <c r="A13" s="45" t="s">
        <v>2962</v>
      </c>
      <c r="B13" s="37" t="s">
        <v>2914</v>
      </c>
      <c r="C13" s="37" t="s">
        <v>112</v>
      </c>
      <c r="D13" s="38" t="s">
        <v>2963</v>
      </c>
      <c r="E13" s="36" t="s">
        <v>2964</v>
      </c>
      <c r="F13" s="189" t="s">
        <v>2965</v>
      </c>
      <c r="G13" s="37" t="s">
        <v>2966</v>
      </c>
      <c r="H13" s="36" t="s">
        <v>2967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5"/>
      <c r="AA13" s="40"/>
    </row>
    <row r="14">
      <c r="A14" s="45" t="s">
        <v>2968</v>
      </c>
      <c r="B14" s="37" t="s">
        <v>2914</v>
      </c>
      <c r="C14" s="37" t="s">
        <v>112</v>
      </c>
      <c r="D14" s="42"/>
      <c r="E14" s="36" t="s">
        <v>2969</v>
      </c>
      <c r="F14" s="189" t="s">
        <v>2939</v>
      </c>
      <c r="G14" s="36" t="s">
        <v>2970</v>
      </c>
      <c r="H14" s="36" t="s">
        <v>2971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5"/>
      <c r="AA14" s="40"/>
    </row>
    <row r="15">
      <c r="A15" s="36" t="s">
        <v>2972</v>
      </c>
      <c r="B15" s="37" t="s">
        <v>2914</v>
      </c>
      <c r="C15" s="37" t="s">
        <v>3418</v>
      </c>
      <c r="D15" s="38" t="s">
        <v>2973</v>
      </c>
      <c r="E15" s="36" t="s">
        <v>2974</v>
      </c>
      <c r="F15" s="189" t="s">
        <v>2975</v>
      </c>
      <c r="G15" s="36" t="s">
        <v>2976</v>
      </c>
      <c r="H15" s="36" t="s">
        <v>2977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44"/>
    </row>
    <row r="16">
      <c r="A16" s="36" t="s">
        <v>2978</v>
      </c>
      <c r="B16" s="37" t="s">
        <v>2914</v>
      </c>
      <c r="C16" s="37" t="s">
        <v>3418</v>
      </c>
      <c r="D16" s="38" t="s">
        <v>2979</v>
      </c>
      <c r="E16" s="36" t="s">
        <v>2868</v>
      </c>
      <c r="F16" s="189" t="s">
        <v>2980</v>
      </c>
      <c r="G16" s="36" t="s">
        <v>2870</v>
      </c>
      <c r="H16" s="36" t="s">
        <v>2981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44"/>
    </row>
    <row r="17">
      <c r="A17" s="36" t="s">
        <v>2982</v>
      </c>
      <c r="B17" s="37" t="s">
        <v>2914</v>
      </c>
      <c r="C17" s="37" t="s">
        <v>211</v>
      </c>
      <c r="D17" s="190" t="s">
        <v>2983</v>
      </c>
      <c r="E17" s="36" t="s">
        <v>2984</v>
      </c>
      <c r="F17" s="189" t="s">
        <v>2985</v>
      </c>
      <c r="G17" s="36" t="s">
        <v>2986</v>
      </c>
      <c r="H17" s="36" t="s">
        <v>2987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4"/>
    </row>
    <row r="18">
      <c r="A18" s="36" t="s">
        <v>2988</v>
      </c>
      <c r="B18" s="37" t="s">
        <v>2914</v>
      </c>
      <c r="C18" s="37" t="s">
        <v>3418</v>
      </c>
      <c r="D18" s="38" t="s">
        <v>2989</v>
      </c>
      <c r="E18" s="36" t="s">
        <v>2990</v>
      </c>
      <c r="F18" s="189" t="s">
        <v>2991</v>
      </c>
      <c r="G18" s="36" t="s">
        <v>2992</v>
      </c>
      <c r="H18" s="36" t="s">
        <v>2993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44"/>
    </row>
    <row r="19">
      <c r="A19" s="36" t="s">
        <v>2994</v>
      </c>
      <c r="B19" s="37" t="s">
        <v>2914</v>
      </c>
      <c r="C19" s="37" t="s">
        <v>3418</v>
      </c>
      <c r="D19" s="38" t="s">
        <v>2995</v>
      </c>
      <c r="E19" s="36" t="s">
        <v>2996</v>
      </c>
      <c r="F19" s="37"/>
      <c r="G19" s="36" t="s">
        <v>2997</v>
      </c>
      <c r="H19" s="36" t="s">
        <v>2998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36" t="s">
        <v>2999</v>
      </c>
      <c r="B20" s="37" t="s">
        <v>2914</v>
      </c>
      <c r="C20" s="37" t="s">
        <v>90</v>
      </c>
      <c r="D20" s="190" t="s">
        <v>3000</v>
      </c>
      <c r="E20" s="36" t="s">
        <v>3001</v>
      </c>
      <c r="F20" s="189" t="s">
        <v>3002</v>
      </c>
      <c r="G20" s="37"/>
      <c r="H20" s="36" t="s">
        <v>3003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36" t="s">
        <v>3004</v>
      </c>
      <c r="B21" s="37" t="s">
        <v>2914</v>
      </c>
      <c r="C21" s="37" t="s">
        <v>90</v>
      </c>
      <c r="D21" s="190" t="s">
        <v>3005</v>
      </c>
      <c r="E21" s="36" t="s">
        <v>3006</v>
      </c>
      <c r="F21" s="189" t="s">
        <v>3007</v>
      </c>
      <c r="G21" s="36" t="s">
        <v>3008</v>
      </c>
      <c r="H21" s="36" t="s">
        <v>3009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36" t="s">
        <v>3010</v>
      </c>
      <c r="B22" s="37" t="s">
        <v>2914</v>
      </c>
      <c r="C22" s="37" t="s">
        <v>90</v>
      </c>
      <c r="D22" s="190" t="s">
        <v>3011</v>
      </c>
      <c r="E22" s="36" t="s">
        <v>3012</v>
      </c>
      <c r="F22" s="189" t="s">
        <v>3013</v>
      </c>
      <c r="G22" s="37"/>
      <c r="H22" s="36" t="s">
        <v>3014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36" t="s">
        <v>3015</v>
      </c>
      <c r="B23" s="37" t="s">
        <v>2914</v>
      </c>
      <c r="C23" s="37" t="s">
        <v>90</v>
      </c>
      <c r="D23" s="190" t="s">
        <v>3016</v>
      </c>
      <c r="E23" s="36" t="s">
        <v>3017</v>
      </c>
      <c r="F23" s="189" t="s">
        <v>3018</v>
      </c>
      <c r="G23" s="37" t="s">
        <v>3019</v>
      </c>
      <c r="H23" s="36" t="s">
        <v>3020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36" t="s">
        <v>3021</v>
      </c>
      <c r="B24" s="37" t="s">
        <v>2914</v>
      </c>
      <c r="C24" s="37" t="s">
        <v>90</v>
      </c>
      <c r="D24" s="42"/>
      <c r="E24" s="36" t="s">
        <v>3017</v>
      </c>
      <c r="F24" s="189" t="s">
        <v>3018</v>
      </c>
      <c r="G24" s="37" t="s">
        <v>3019</v>
      </c>
      <c r="H24" s="36" t="s">
        <v>3020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36" t="s">
        <v>3022</v>
      </c>
      <c r="B25" s="37" t="s">
        <v>2914</v>
      </c>
      <c r="C25" s="37" t="s">
        <v>90</v>
      </c>
      <c r="D25" s="190" t="s">
        <v>3023</v>
      </c>
      <c r="E25" s="36" t="s">
        <v>3024</v>
      </c>
      <c r="F25" s="189" t="s">
        <v>1514</v>
      </c>
      <c r="G25" s="36" t="s">
        <v>1515</v>
      </c>
      <c r="H25" s="36" t="s">
        <v>3025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45" t="s">
        <v>3026</v>
      </c>
      <c r="B26" s="37" t="s">
        <v>2914</v>
      </c>
      <c r="C26" s="37" t="s">
        <v>388</v>
      </c>
      <c r="D26" s="190" t="s">
        <v>3011</v>
      </c>
      <c r="E26" s="36" t="s">
        <v>3012</v>
      </c>
      <c r="F26" s="189" t="s">
        <v>3013</v>
      </c>
      <c r="G26" s="37"/>
      <c r="H26" s="36" t="s">
        <v>3027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45" t="s">
        <v>3028</v>
      </c>
      <c r="B27" s="37" t="s">
        <v>2914</v>
      </c>
      <c r="C27" s="37" t="s">
        <v>388</v>
      </c>
      <c r="D27" s="38" t="s">
        <v>3029</v>
      </c>
      <c r="E27" s="36" t="s">
        <v>3030</v>
      </c>
      <c r="F27" s="36" t="s">
        <v>3031</v>
      </c>
      <c r="G27" s="37"/>
      <c r="H27" s="36" t="s">
        <v>3032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45" t="s">
        <v>3033</v>
      </c>
      <c r="B28" s="37" t="s">
        <v>2914</v>
      </c>
      <c r="C28" s="37" t="s">
        <v>388</v>
      </c>
      <c r="D28" s="38" t="s">
        <v>3034</v>
      </c>
      <c r="E28" s="37" t="s">
        <v>3035</v>
      </c>
      <c r="F28" s="45" t="s">
        <v>3036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45" t="s">
        <v>3037</v>
      </c>
      <c r="B29" s="37" t="s">
        <v>2914</v>
      </c>
      <c r="C29" s="37" t="s">
        <v>388</v>
      </c>
      <c r="D29" s="38" t="s">
        <v>3038</v>
      </c>
      <c r="E29" s="37" t="s">
        <v>3039</v>
      </c>
      <c r="F29" s="37" t="s">
        <v>3040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45" t="s">
        <v>3041</v>
      </c>
      <c r="B30" s="37" t="s">
        <v>2914</v>
      </c>
      <c r="C30" s="37" t="s">
        <v>388</v>
      </c>
      <c r="D30" s="42"/>
      <c r="E30" s="37"/>
      <c r="F30" s="37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45" t="s">
        <v>3042</v>
      </c>
      <c r="B31" s="37" t="s">
        <v>2914</v>
      </c>
      <c r="C31" s="37" t="s">
        <v>388</v>
      </c>
      <c r="D31" s="38" t="s">
        <v>3043</v>
      </c>
      <c r="E31" s="36" t="s">
        <v>3044</v>
      </c>
      <c r="F31" s="191" t="s">
        <v>3045</v>
      </c>
      <c r="G31" s="36"/>
      <c r="H31" s="36" t="s">
        <v>3046</v>
      </c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45" t="s">
        <v>3047</v>
      </c>
      <c r="B32" s="37" t="s">
        <v>2914</v>
      </c>
      <c r="C32" s="37" t="s">
        <v>388</v>
      </c>
      <c r="D32" s="38" t="s">
        <v>3048</v>
      </c>
      <c r="E32" s="36">
        <v>5.3011557E7</v>
      </c>
      <c r="F32" s="189" t="s">
        <v>3049</v>
      </c>
      <c r="G32" s="36" t="s">
        <v>3050</v>
      </c>
      <c r="H32" s="36" t="s">
        <v>3051</v>
      </c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45" t="s">
        <v>3052</v>
      </c>
      <c r="B33" s="37" t="s">
        <v>2914</v>
      </c>
      <c r="C33" s="37" t="s">
        <v>3454</v>
      </c>
      <c r="D33" s="38" t="s">
        <v>3053</v>
      </c>
      <c r="E33" s="36" t="s">
        <v>3054</v>
      </c>
      <c r="F33" s="192" t="s">
        <v>3055</v>
      </c>
      <c r="G33" s="36"/>
      <c r="H33" s="36" t="s">
        <v>3056</v>
      </c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6" t="s">
        <v>3057</v>
      </c>
      <c r="B34" s="37" t="s">
        <v>2914</v>
      </c>
      <c r="C34" s="37" t="s">
        <v>262</v>
      </c>
      <c r="D34" s="190" t="s">
        <v>3058</v>
      </c>
      <c r="E34" s="36" t="s">
        <v>3059</v>
      </c>
      <c r="F34" s="189" t="s">
        <v>3060</v>
      </c>
      <c r="G34" s="36" t="s">
        <v>3061</v>
      </c>
      <c r="H34" s="36" t="s">
        <v>3062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6" t="s">
        <v>3063</v>
      </c>
      <c r="B35" s="37" t="s">
        <v>2914</v>
      </c>
      <c r="C35" s="37" t="s">
        <v>262</v>
      </c>
      <c r="D35" s="42"/>
      <c r="E35" s="36" t="s">
        <v>3065</v>
      </c>
      <c r="F35" s="189" t="s">
        <v>3066</v>
      </c>
      <c r="G35" s="36" t="s">
        <v>3067</v>
      </c>
      <c r="H35" s="36" t="s">
        <v>3068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6" t="s">
        <v>3069</v>
      </c>
      <c r="B36" s="37" t="s">
        <v>2914</v>
      </c>
      <c r="C36" s="37" t="s">
        <v>262</v>
      </c>
      <c r="D36" s="42"/>
      <c r="E36" s="36" t="s">
        <v>3065</v>
      </c>
      <c r="F36" s="189" t="s">
        <v>3066</v>
      </c>
      <c r="G36" s="36" t="s">
        <v>3067</v>
      </c>
      <c r="H36" s="36" t="s">
        <v>3071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6" t="s">
        <v>3072</v>
      </c>
      <c r="B37" s="37" t="s">
        <v>2914</v>
      </c>
      <c r="C37" s="37" t="s">
        <v>262</v>
      </c>
      <c r="D37" s="190" t="s">
        <v>3073</v>
      </c>
      <c r="E37" s="36" t="s">
        <v>2927</v>
      </c>
      <c r="F37" s="189" t="s">
        <v>3074</v>
      </c>
      <c r="G37" s="36" t="s">
        <v>2929</v>
      </c>
      <c r="H37" s="36" t="s">
        <v>3075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6" t="s">
        <v>3580</v>
      </c>
      <c r="B38" s="37" t="s">
        <v>2914</v>
      </c>
      <c r="C38" s="37" t="s">
        <v>400</v>
      </c>
      <c r="D38" s="190" t="s">
        <v>3077</v>
      </c>
      <c r="E38" s="36" t="s">
        <v>3078</v>
      </c>
      <c r="F38" s="45" t="s">
        <v>3079</v>
      </c>
      <c r="G38" s="36" t="s">
        <v>3080</v>
      </c>
      <c r="H38" s="36" t="s">
        <v>3081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193"/>
      <c r="B39" s="193"/>
      <c r="C39" s="193"/>
      <c r="D39" s="194"/>
      <c r="E39" s="193"/>
      <c r="F39" s="193"/>
      <c r="G39" s="193"/>
      <c r="H39" s="193"/>
      <c r="I39" s="193"/>
      <c r="J39" s="193"/>
    </row>
    <row r="40">
      <c r="D40" s="126"/>
    </row>
    <row r="41">
      <c r="D41" s="126"/>
    </row>
    <row r="42">
      <c r="D42" s="126"/>
    </row>
    <row r="43">
      <c r="D43" s="126"/>
    </row>
    <row r="44">
      <c r="D44" s="126"/>
    </row>
    <row r="45">
      <c r="D45" s="126"/>
    </row>
    <row r="46">
      <c r="D46" s="126"/>
    </row>
    <row r="47">
      <c r="D47" s="126"/>
    </row>
    <row r="48">
      <c r="D48" s="126"/>
    </row>
    <row r="49">
      <c r="D49" s="126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</sheetData>
  <hyperlinks>
    <hyperlink r:id="rId1" ref="F2"/>
    <hyperlink r:id="rId2" ref="F3"/>
    <hyperlink r:id="rId3" ref="F4"/>
    <hyperlink r:id="rId4" ref="F5"/>
    <hyperlink r:id="rId5" ref="F6"/>
    <hyperlink r:id="rId6" ref="A7"/>
    <hyperlink r:id="rId7" ref="D7"/>
    <hyperlink r:id="rId8" ref="F7"/>
    <hyperlink r:id="rId9" ref="F8"/>
    <hyperlink r:id="rId10" ref="A9"/>
    <hyperlink r:id="rId11" ref="F9"/>
    <hyperlink r:id="rId12" ref="F10"/>
    <hyperlink r:id="rId13" ref="F11"/>
    <hyperlink r:id="rId14" ref="F12"/>
    <hyperlink r:id="rId15" ref="A13"/>
    <hyperlink r:id="rId16" ref="D13"/>
    <hyperlink r:id="rId17" ref="F13"/>
    <hyperlink r:id="rId18" ref="A14"/>
    <hyperlink r:id="rId19" ref="F14"/>
    <hyperlink r:id="rId20" ref="D15"/>
    <hyperlink r:id="rId21" ref="F15"/>
    <hyperlink r:id="rId22" ref="D16"/>
    <hyperlink r:id="rId23" ref="F16"/>
    <hyperlink r:id="rId24" ref="D17"/>
    <hyperlink r:id="rId25" ref="F17"/>
    <hyperlink r:id="rId26" ref="D18"/>
    <hyperlink r:id="rId27" ref="F18"/>
    <hyperlink r:id="rId28" ref="D19"/>
    <hyperlink r:id="rId29" ref="D20"/>
    <hyperlink r:id="rId30" ref="F20"/>
    <hyperlink r:id="rId31" ref="D21"/>
    <hyperlink r:id="rId32" ref="F21"/>
    <hyperlink r:id="rId33" ref="D22"/>
    <hyperlink r:id="rId34" ref="F22"/>
    <hyperlink r:id="rId35" ref="D23"/>
    <hyperlink r:id="rId36" ref="F23"/>
    <hyperlink r:id="rId37" ref="F24"/>
    <hyperlink r:id="rId38" ref="D25"/>
    <hyperlink r:id="rId39" ref="F25"/>
    <hyperlink r:id="rId40" ref="A26"/>
    <hyperlink r:id="rId41" ref="D26"/>
    <hyperlink r:id="rId42" ref="F26"/>
    <hyperlink r:id="rId43" ref="A27"/>
    <hyperlink r:id="rId44" ref="D27"/>
    <hyperlink r:id="rId45" ref="A28"/>
    <hyperlink r:id="rId46" ref="D28"/>
    <hyperlink r:id="rId47" ref="F28"/>
    <hyperlink r:id="rId48" ref="A29"/>
    <hyperlink r:id="rId49" ref="D29"/>
    <hyperlink r:id="rId50" ref="A30"/>
    <hyperlink r:id="rId51" ref="A31"/>
    <hyperlink r:id="rId52" ref="D31"/>
    <hyperlink r:id="rId53" ref="F31"/>
    <hyperlink r:id="rId54" ref="A32"/>
    <hyperlink r:id="rId55" ref="D32"/>
    <hyperlink r:id="rId56" ref="F32"/>
    <hyperlink r:id="rId57" ref="A33"/>
    <hyperlink r:id="rId58" ref="D33"/>
    <hyperlink r:id="rId59" ref="D34"/>
    <hyperlink r:id="rId60" ref="F34"/>
    <hyperlink r:id="rId61" ref="F35"/>
    <hyperlink r:id="rId62" ref="F36"/>
    <hyperlink r:id="rId63" ref="D37"/>
    <hyperlink r:id="rId64" ref="F37"/>
    <hyperlink r:id="rId65" ref="D38"/>
    <hyperlink r:id="rId66" ref="F38"/>
  </hyperlinks>
  <drawing r:id="rId6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1.29"/>
    <col customWidth="1" min="3" max="3" width="12.71"/>
    <col customWidth="1" min="4" max="4" width="50.86"/>
    <col customWidth="1" min="5" max="5" width="17.43"/>
    <col customWidth="1" min="6" max="6" width="27.57"/>
    <col customWidth="1" min="7" max="7" width="16.0"/>
    <col customWidth="1" min="8" max="8" width="36.57"/>
    <col customWidth="1" min="9" max="9" width="17.86"/>
    <col customWidth="1" min="10" max="10" width="142.0"/>
    <col customWidth="1" min="11" max="11" width="19.29"/>
    <col customWidth="1" min="12" max="12" width="14.57"/>
    <col customWidth="1" min="13" max="13" width="22.14"/>
    <col customWidth="1" min="14" max="14" width="22.0"/>
    <col customWidth="1" min="15" max="15" width="24.14"/>
    <col customWidth="1" min="16" max="16" width="22.43"/>
    <col customWidth="1" min="17" max="17" width="26.43"/>
    <col customWidth="1" min="18" max="18" width="25.29"/>
    <col customWidth="1" min="19" max="19" width="26.43"/>
    <col customWidth="1" min="20" max="20" width="17.43"/>
    <col customWidth="1" min="21" max="21" width="20.71"/>
    <col customWidth="1" min="22" max="22" width="15.29"/>
    <col customWidth="1" min="23" max="23" width="13.0"/>
    <col customWidth="1" min="24" max="24" width="18.57"/>
    <col customWidth="1" min="25" max="25" width="30.71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 t="s">
        <v>6</v>
      </c>
      <c r="H1" s="177" t="s">
        <v>7</v>
      </c>
      <c r="I1" s="177" t="s">
        <v>8</v>
      </c>
      <c r="J1" s="177" t="s">
        <v>9</v>
      </c>
      <c r="K1" s="180" t="s">
        <v>10</v>
      </c>
      <c r="L1" s="177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  <c r="R1" s="180" t="s">
        <v>17</v>
      </c>
      <c r="S1" s="180" t="s">
        <v>18</v>
      </c>
      <c r="T1" s="177" t="s">
        <v>19</v>
      </c>
      <c r="U1" s="177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93"/>
      <c r="AA1" s="5"/>
      <c r="AB1" s="5"/>
      <c r="AC1" s="5"/>
      <c r="AD1" s="5"/>
      <c r="AE1" s="5"/>
      <c r="AF1" s="5"/>
      <c r="AG1" s="5"/>
    </row>
    <row r="2">
      <c r="A2" s="37" t="s">
        <v>3082</v>
      </c>
      <c r="B2" s="37" t="s">
        <v>3083</v>
      </c>
      <c r="C2" s="37" t="s">
        <v>512</v>
      </c>
      <c r="D2" s="38" t="s">
        <v>3084</v>
      </c>
      <c r="E2" s="37" t="s">
        <v>3085</v>
      </c>
      <c r="F2" s="37" t="s">
        <v>3086</v>
      </c>
      <c r="G2" s="37" t="s">
        <v>3087</v>
      </c>
      <c r="H2" s="37" t="s">
        <v>3088</v>
      </c>
      <c r="I2" s="37"/>
      <c r="J2" s="45" t="s">
        <v>3581</v>
      </c>
      <c r="K2" s="37" t="s">
        <v>1282</v>
      </c>
      <c r="L2" s="37"/>
      <c r="M2" s="37"/>
      <c r="N2" s="37" t="s">
        <v>3582</v>
      </c>
      <c r="O2" s="37" t="s">
        <v>3582</v>
      </c>
      <c r="P2" s="37" t="s">
        <v>3582</v>
      </c>
      <c r="Q2" s="37"/>
      <c r="R2" s="37" t="s">
        <v>3582</v>
      </c>
      <c r="S2" s="37" t="s">
        <v>3583</v>
      </c>
      <c r="T2" s="37"/>
      <c r="U2" s="37" t="s">
        <v>3582</v>
      </c>
      <c r="V2" s="37" t="s">
        <v>3582</v>
      </c>
      <c r="W2" s="37"/>
      <c r="X2" s="37" t="s">
        <v>412</v>
      </c>
      <c r="Y2" s="37" t="s">
        <v>1653</v>
      </c>
      <c r="Z2" s="5"/>
      <c r="AA2" s="5"/>
      <c r="AB2" s="5"/>
      <c r="AC2" s="5"/>
      <c r="AD2" s="5"/>
      <c r="AE2" s="5"/>
      <c r="AF2" s="5"/>
      <c r="AG2" s="5"/>
    </row>
    <row r="3">
      <c r="A3" s="37" t="s">
        <v>3090</v>
      </c>
      <c r="B3" s="37" t="s">
        <v>3083</v>
      </c>
      <c r="C3" s="37" t="s">
        <v>512</v>
      </c>
      <c r="D3" s="38" t="s">
        <v>3091</v>
      </c>
      <c r="E3" s="37">
        <v>5277129.0</v>
      </c>
      <c r="F3" s="45" t="s">
        <v>3092</v>
      </c>
      <c r="G3" s="37" t="s">
        <v>3093</v>
      </c>
      <c r="H3" s="37" t="s">
        <v>3094</v>
      </c>
      <c r="I3" s="37">
        <v>50.0</v>
      </c>
      <c r="J3" s="37" t="s">
        <v>413</v>
      </c>
      <c r="K3" s="37" t="s">
        <v>1756</v>
      </c>
      <c r="L3" s="37">
        <v>50.0</v>
      </c>
      <c r="M3" s="37" t="s">
        <v>3095</v>
      </c>
      <c r="N3" s="37" t="s">
        <v>3582</v>
      </c>
      <c r="O3" s="37" t="s">
        <v>3582</v>
      </c>
      <c r="P3" s="37" t="s">
        <v>3582</v>
      </c>
      <c r="Q3" s="37" t="s">
        <v>3096</v>
      </c>
      <c r="R3" s="37" t="s">
        <v>3582</v>
      </c>
      <c r="S3" s="37" t="s">
        <v>3583</v>
      </c>
      <c r="T3" s="37"/>
      <c r="U3" s="37" t="s">
        <v>1653</v>
      </c>
      <c r="V3" s="37" t="s">
        <v>461</v>
      </c>
      <c r="W3" s="37">
        <v>2.0</v>
      </c>
      <c r="X3" s="37" t="s">
        <v>3097</v>
      </c>
      <c r="Y3" s="37" t="s">
        <v>1653</v>
      </c>
      <c r="Z3" s="5"/>
      <c r="AA3" s="5"/>
      <c r="AB3" s="5"/>
      <c r="AC3" s="5"/>
      <c r="AD3" s="5"/>
      <c r="AE3" s="5"/>
      <c r="AF3" s="5"/>
      <c r="AG3" s="5"/>
    </row>
    <row r="4">
      <c r="A4" s="37" t="s">
        <v>3104</v>
      </c>
      <c r="B4" s="37" t="s">
        <v>3083</v>
      </c>
      <c r="C4" s="37" t="s">
        <v>90</v>
      </c>
      <c r="D4" s="38" t="s">
        <v>3105</v>
      </c>
      <c r="E4" s="37" t="s">
        <v>3106</v>
      </c>
      <c r="F4" s="37" t="s">
        <v>3107</v>
      </c>
      <c r="G4" s="37" t="s">
        <v>3108</v>
      </c>
      <c r="H4" s="37" t="s">
        <v>3109</v>
      </c>
      <c r="I4" s="37"/>
      <c r="J4" s="37" t="s">
        <v>34</v>
      </c>
      <c r="K4" s="37"/>
      <c r="L4" s="37">
        <v>20.0</v>
      </c>
      <c r="M4" s="37" t="s">
        <v>3174</v>
      </c>
      <c r="N4" s="37"/>
      <c r="O4" s="37"/>
      <c r="P4" s="37" t="s">
        <v>413</v>
      </c>
      <c r="Q4" s="37"/>
      <c r="R4" s="37"/>
      <c r="S4" s="37"/>
      <c r="T4" s="37"/>
      <c r="U4" s="37"/>
      <c r="V4" s="37"/>
      <c r="W4" s="37"/>
      <c r="X4" s="37"/>
      <c r="Y4" s="37"/>
      <c r="Z4" s="5"/>
      <c r="AA4" s="5"/>
      <c r="AB4" s="5"/>
      <c r="AC4" s="5"/>
      <c r="AD4" s="5"/>
      <c r="AE4" s="5"/>
      <c r="AF4" s="5"/>
      <c r="AG4" s="5"/>
    </row>
    <row r="5">
      <c r="A5" s="37" t="s">
        <v>3110</v>
      </c>
      <c r="B5" s="37" t="s">
        <v>3083</v>
      </c>
      <c r="C5" s="37" t="s">
        <v>718</v>
      </c>
      <c r="D5" s="38" t="s">
        <v>3111</v>
      </c>
      <c r="E5" s="37">
        <v>4355311.0</v>
      </c>
      <c r="F5" s="37" t="s">
        <v>3112</v>
      </c>
      <c r="G5" s="37"/>
      <c r="H5" s="37" t="s">
        <v>3113</v>
      </c>
      <c r="I5" s="37">
        <v>255.0</v>
      </c>
      <c r="J5" s="37"/>
      <c r="K5" s="37" t="s">
        <v>1756</v>
      </c>
      <c r="L5" s="37" t="s">
        <v>3114</v>
      </c>
      <c r="M5" s="37"/>
      <c r="N5" s="37" t="s">
        <v>413</v>
      </c>
      <c r="O5" s="37"/>
      <c r="P5" s="37" t="s">
        <v>413</v>
      </c>
      <c r="Q5" s="37"/>
      <c r="R5" s="37" t="s">
        <v>1653</v>
      </c>
      <c r="S5" s="37" t="s">
        <v>1653</v>
      </c>
      <c r="T5" s="37"/>
      <c r="U5" s="37" t="s">
        <v>413</v>
      </c>
      <c r="V5" s="37"/>
      <c r="W5" s="37"/>
      <c r="X5" s="37" t="s">
        <v>412</v>
      </c>
      <c r="Y5" s="37" t="s">
        <v>1653</v>
      </c>
      <c r="Z5" s="5"/>
      <c r="AA5" s="5"/>
      <c r="AB5" s="5"/>
      <c r="AC5" s="5"/>
      <c r="AD5" s="5"/>
      <c r="AE5" s="5"/>
      <c r="AF5" s="5"/>
      <c r="AG5" s="5"/>
    </row>
    <row r="6">
      <c r="A6" s="37" t="s">
        <v>3115</v>
      </c>
      <c r="B6" s="37" t="s">
        <v>3083</v>
      </c>
      <c r="C6" s="37" t="s">
        <v>262</v>
      </c>
      <c r="D6" s="38" t="s">
        <v>3116</v>
      </c>
      <c r="E6" s="37" t="s">
        <v>3117</v>
      </c>
      <c r="F6" s="37" t="s">
        <v>3118</v>
      </c>
      <c r="G6" s="37" t="s">
        <v>3119</v>
      </c>
      <c r="H6" s="37" t="s">
        <v>3120</v>
      </c>
      <c r="I6" s="37">
        <v>100.0</v>
      </c>
      <c r="J6" s="37" t="s">
        <v>413</v>
      </c>
      <c r="K6" s="37" t="s">
        <v>3584</v>
      </c>
      <c r="L6" s="37">
        <v>200.0</v>
      </c>
      <c r="M6" s="37" t="s">
        <v>3121</v>
      </c>
      <c r="N6" s="37" t="s">
        <v>3582</v>
      </c>
      <c r="O6" s="37" t="s">
        <v>3582</v>
      </c>
      <c r="P6" s="37" t="s">
        <v>3582</v>
      </c>
      <c r="Q6" s="37" t="s">
        <v>3122</v>
      </c>
      <c r="R6" s="37" t="s">
        <v>1653</v>
      </c>
      <c r="S6" s="37" t="s">
        <v>3123</v>
      </c>
      <c r="T6" s="37" t="s">
        <v>3124</v>
      </c>
      <c r="U6" s="37" t="s">
        <v>3582</v>
      </c>
      <c r="V6" s="37" t="s">
        <v>461</v>
      </c>
      <c r="W6" s="37">
        <v>6.0</v>
      </c>
      <c r="X6" s="37" t="s">
        <v>412</v>
      </c>
      <c r="Y6" s="37" t="s">
        <v>3125</v>
      </c>
      <c r="Z6" s="5"/>
      <c r="AA6" s="5"/>
      <c r="AB6" s="5"/>
      <c r="AC6" s="5"/>
      <c r="AD6" s="5"/>
      <c r="AE6" s="5"/>
      <c r="AF6" s="5"/>
      <c r="AG6" s="5"/>
    </row>
    <row r="7">
      <c r="A7" s="37" t="s">
        <v>3126</v>
      </c>
      <c r="B7" s="37" t="s">
        <v>3083</v>
      </c>
      <c r="C7" s="37" t="s">
        <v>3438</v>
      </c>
      <c r="D7" s="38" t="s">
        <v>3127</v>
      </c>
      <c r="E7" s="37">
        <v>5.7502313E7</v>
      </c>
      <c r="F7" s="37" t="s">
        <v>3128</v>
      </c>
      <c r="G7" s="37" t="s">
        <v>3129</v>
      </c>
      <c r="H7" s="37" t="s">
        <v>3130</v>
      </c>
      <c r="I7" s="37" t="s">
        <v>3585</v>
      </c>
      <c r="J7" s="37" t="s">
        <v>3586</v>
      </c>
      <c r="K7" s="37" t="s">
        <v>3587</v>
      </c>
      <c r="L7" s="37">
        <v>100.0</v>
      </c>
      <c r="M7" s="37" t="s">
        <v>3174</v>
      </c>
      <c r="N7" s="37" t="s">
        <v>1653</v>
      </c>
      <c r="O7" s="37" t="s">
        <v>1653</v>
      </c>
      <c r="P7" s="37" t="s">
        <v>3582</v>
      </c>
      <c r="Q7" s="37" t="s">
        <v>3131</v>
      </c>
      <c r="R7" s="37" t="s">
        <v>3582</v>
      </c>
      <c r="S7" s="37" t="s">
        <v>3588</v>
      </c>
      <c r="T7" s="37" t="s">
        <v>3132</v>
      </c>
      <c r="U7" s="37" t="s">
        <v>3582</v>
      </c>
      <c r="V7" s="37" t="s">
        <v>461</v>
      </c>
      <c r="W7" s="37">
        <v>11.0</v>
      </c>
      <c r="X7" s="37" t="s">
        <v>3133</v>
      </c>
      <c r="Y7" s="37" t="s">
        <v>1653</v>
      </c>
      <c r="Z7" s="5"/>
      <c r="AA7" s="5"/>
      <c r="AB7" s="5"/>
      <c r="AC7" s="5"/>
      <c r="AD7" s="5"/>
      <c r="AE7" s="5"/>
      <c r="AF7" s="5"/>
      <c r="AG7" s="5"/>
    </row>
    <row r="8">
      <c r="A8" s="37" t="s">
        <v>3134</v>
      </c>
      <c r="B8" s="37" t="s">
        <v>3083</v>
      </c>
      <c r="C8" s="37" t="s">
        <v>674</v>
      </c>
      <c r="D8" s="38" t="s">
        <v>3135</v>
      </c>
      <c r="E8" s="37">
        <v>5289059.0</v>
      </c>
      <c r="F8" s="37" t="s">
        <v>3136</v>
      </c>
      <c r="G8" s="37" t="s">
        <v>3137</v>
      </c>
      <c r="H8" s="37" t="s">
        <v>3138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5"/>
      <c r="AA8" s="5"/>
      <c r="AB8" s="5"/>
      <c r="AC8" s="5"/>
      <c r="AD8" s="5"/>
      <c r="AE8" s="5"/>
      <c r="AF8" s="5"/>
      <c r="AG8" s="5"/>
    </row>
    <row r="9">
      <c r="A9" s="37" t="s">
        <v>3139</v>
      </c>
      <c r="B9" s="37" t="s">
        <v>3083</v>
      </c>
      <c r="C9" s="37" t="s">
        <v>674</v>
      </c>
      <c r="D9" s="38" t="s">
        <v>3140</v>
      </c>
      <c r="E9" s="37" t="s">
        <v>3141</v>
      </c>
      <c r="F9" s="37" t="s">
        <v>3142</v>
      </c>
      <c r="G9" s="37" t="s">
        <v>3143</v>
      </c>
      <c r="H9" s="37" t="s">
        <v>3144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"/>
      <c r="AA9" s="5"/>
      <c r="AB9" s="5"/>
      <c r="AC9" s="5"/>
      <c r="AD9" s="5"/>
      <c r="AE9" s="5"/>
      <c r="AF9" s="5"/>
      <c r="AG9" s="5"/>
    </row>
    <row r="10">
      <c r="A10" s="37" t="s">
        <v>3145</v>
      </c>
      <c r="B10" s="37" t="s">
        <v>3083</v>
      </c>
      <c r="C10" s="37" t="s">
        <v>388</v>
      </c>
      <c r="D10" s="38" t="s">
        <v>3146</v>
      </c>
      <c r="E10" s="37" t="s">
        <v>3147</v>
      </c>
      <c r="F10" s="37" t="s">
        <v>3148</v>
      </c>
      <c r="G10" s="37" t="s">
        <v>3149</v>
      </c>
      <c r="H10" s="37" t="s">
        <v>3150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5"/>
      <c r="AA10" s="5"/>
      <c r="AB10" s="5"/>
      <c r="AC10" s="5"/>
      <c r="AD10" s="5"/>
      <c r="AE10" s="5"/>
      <c r="AF10" s="5"/>
      <c r="AG10" s="5"/>
    </row>
    <row r="11">
      <c r="A11" s="37" t="s">
        <v>3151</v>
      </c>
      <c r="B11" s="37" t="s">
        <v>3083</v>
      </c>
      <c r="C11" s="37" t="s">
        <v>388</v>
      </c>
      <c r="D11" s="38" t="s">
        <v>3152</v>
      </c>
      <c r="E11" s="37" t="s">
        <v>3153</v>
      </c>
      <c r="F11" s="37" t="s">
        <v>3154</v>
      </c>
      <c r="G11" s="37"/>
      <c r="H11" s="37" t="s">
        <v>3155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5"/>
      <c r="AA11" s="5"/>
      <c r="AB11" s="5"/>
      <c r="AC11" s="5"/>
      <c r="AD11" s="5"/>
      <c r="AE11" s="5"/>
      <c r="AF11" s="5"/>
      <c r="AG11" s="5"/>
    </row>
    <row r="12">
      <c r="A12" s="37" t="s">
        <v>3156</v>
      </c>
      <c r="B12" s="37" t="s">
        <v>3083</v>
      </c>
      <c r="C12" s="37" t="s">
        <v>388</v>
      </c>
      <c r="D12" s="111" t="s">
        <v>3157</v>
      </c>
      <c r="E12" s="37" t="s">
        <v>3158</v>
      </c>
      <c r="F12" s="37" t="s">
        <v>3159</v>
      </c>
      <c r="G12" s="37"/>
      <c r="H12" s="37" t="s">
        <v>3160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5"/>
      <c r="AA12" s="5"/>
      <c r="AB12" s="5"/>
      <c r="AC12" s="5"/>
      <c r="AD12" s="5"/>
      <c r="AE12" s="5"/>
      <c r="AF12" s="5"/>
      <c r="AG12" s="5"/>
    </row>
    <row r="13">
      <c r="A13" s="37" t="s">
        <v>3161</v>
      </c>
      <c r="B13" s="37" t="s">
        <v>3083</v>
      </c>
      <c r="C13" s="37" t="s">
        <v>250</v>
      </c>
      <c r="D13" s="38" t="s">
        <v>3162</v>
      </c>
      <c r="E13" s="37" t="s">
        <v>3163</v>
      </c>
      <c r="F13" s="37" t="s">
        <v>3148</v>
      </c>
      <c r="G13" s="37" t="s">
        <v>3149</v>
      </c>
      <c r="H13" s="37" t="s">
        <v>3164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 t="s">
        <v>413</v>
      </c>
      <c r="V13" s="37"/>
      <c r="W13" s="37">
        <v>3.0</v>
      </c>
      <c r="X13" s="37" t="s">
        <v>3165</v>
      </c>
      <c r="Y13" s="37"/>
      <c r="Z13" s="5"/>
      <c r="AA13" s="5"/>
      <c r="AB13" s="5"/>
      <c r="AC13" s="5"/>
      <c r="AD13" s="5"/>
      <c r="AE13" s="5"/>
      <c r="AF13" s="5"/>
      <c r="AG13" s="5"/>
    </row>
    <row r="14">
      <c r="A14" s="37" t="s">
        <v>3166</v>
      </c>
      <c r="B14" s="37" t="s">
        <v>3083</v>
      </c>
      <c r="C14" s="37" t="s">
        <v>332</v>
      </c>
      <c r="D14" s="38" t="s">
        <v>3167</v>
      </c>
      <c r="E14" s="37">
        <v>4333992.0</v>
      </c>
      <c r="F14" s="37" t="s">
        <v>3168</v>
      </c>
      <c r="G14" s="37" t="s">
        <v>3169</v>
      </c>
      <c r="H14" s="37" t="s">
        <v>3170</v>
      </c>
      <c r="I14" s="37" t="s">
        <v>3589</v>
      </c>
      <c r="J14" s="37" t="s">
        <v>1653</v>
      </c>
      <c r="K14" s="37" t="s">
        <v>3590</v>
      </c>
      <c r="L14" s="37" t="s">
        <v>3589</v>
      </c>
      <c r="M14" s="37" t="s">
        <v>3172</v>
      </c>
      <c r="N14" s="37" t="s">
        <v>1653</v>
      </c>
      <c r="O14" s="37" t="s">
        <v>3591</v>
      </c>
      <c r="P14" s="37" t="s">
        <v>1653</v>
      </c>
      <c r="Q14" s="37" t="s">
        <v>1653</v>
      </c>
      <c r="R14" s="37" t="s">
        <v>1653</v>
      </c>
      <c r="S14" s="37" t="s">
        <v>1653</v>
      </c>
      <c r="T14" s="37" t="s">
        <v>3173</v>
      </c>
      <c r="U14" s="37" t="s">
        <v>413</v>
      </c>
      <c r="V14" s="37"/>
      <c r="W14" s="37" t="s">
        <v>3579</v>
      </c>
      <c r="X14" s="37" t="s">
        <v>3174</v>
      </c>
      <c r="Y14" s="37" t="s">
        <v>413</v>
      </c>
      <c r="Z14" s="5"/>
      <c r="AA14" s="5"/>
      <c r="AB14" s="5"/>
      <c r="AC14" s="5"/>
      <c r="AD14" s="5"/>
      <c r="AE14" s="5"/>
      <c r="AF14" s="5"/>
      <c r="AG14" s="5"/>
    </row>
    <row r="15">
      <c r="A15" s="37" t="s">
        <v>3175</v>
      </c>
      <c r="B15" s="37" t="s">
        <v>3083</v>
      </c>
      <c r="C15" s="37" t="s">
        <v>211</v>
      </c>
      <c r="D15" s="38" t="s">
        <v>3176</v>
      </c>
      <c r="E15" s="37" t="s">
        <v>3177</v>
      </c>
      <c r="F15" s="37" t="s">
        <v>3178</v>
      </c>
      <c r="G15" s="37" t="s">
        <v>3179</v>
      </c>
      <c r="H15" s="37" t="s">
        <v>3180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5"/>
      <c r="AA15" s="5"/>
      <c r="AB15" s="5"/>
      <c r="AC15" s="5"/>
      <c r="AD15" s="5"/>
      <c r="AE15" s="5"/>
      <c r="AF15" s="5"/>
      <c r="AG15" s="5"/>
    </row>
    <row r="16">
      <c r="A16" s="37" t="s">
        <v>3181</v>
      </c>
      <c r="B16" s="37" t="s">
        <v>3083</v>
      </c>
      <c r="C16" s="37" t="s">
        <v>211</v>
      </c>
      <c r="D16" s="38" t="s">
        <v>3182</v>
      </c>
      <c r="E16" s="37">
        <v>5212518.0</v>
      </c>
      <c r="F16" s="45" t="s">
        <v>3183</v>
      </c>
      <c r="G16" s="37" t="s">
        <v>3184</v>
      </c>
      <c r="H16" s="37" t="s">
        <v>3185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5"/>
      <c r="AA16" s="5"/>
      <c r="AB16" s="5"/>
      <c r="AC16" s="5"/>
      <c r="AD16" s="5"/>
      <c r="AE16" s="5"/>
      <c r="AF16" s="5"/>
      <c r="AG16" s="5"/>
    </row>
    <row r="17">
      <c r="A17" s="37" t="s">
        <v>3186</v>
      </c>
      <c r="B17" s="37" t="s">
        <v>3083</v>
      </c>
      <c r="C17" s="37" t="s">
        <v>211</v>
      </c>
      <c r="D17" s="38" t="s">
        <v>3187</v>
      </c>
      <c r="E17" s="45" t="s">
        <v>3188</v>
      </c>
      <c r="F17" s="37" t="s">
        <v>3189</v>
      </c>
      <c r="G17" s="37"/>
      <c r="H17" s="37" t="s">
        <v>3190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5"/>
      <c r="AA17" s="5"/>
      <c r="AB17" s="5"/>
      <c r="AC17" s="5"/>
      <c r="AD17" s="5"/>
      <c r="AE17" s="5"/>
      <c r="AF17" s="5"/>
      <c r="AG17" s="5"/>
    </row>
    <row r="18">
      <c r="A18" s="37" t="s">
        <v>3191</v>
      </c>
      <c r="B18" s="37" t="s">
        <v>3083</v>
      </c>
      <c r="C18" s="37" t="s">
        <v>3443</v>
      </c>
      <c r="D18" s="38" t="s">
        <v>3192</v>
      </c>
      <c r="E18" s="37" t="s">
        <v>3193</v>
      </c>
      <c r="F18" s="45" t="s">
        <v>3194</v>
      </c>
      <c r="G18" s="37" t="s">
        <v>3195</v>
      </c>
      <c r="H18" s="37" t="s">
        <v>3196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5"/>
      <c r="AA18" s="5"/>
      <c r="AB18" s="5"/>
      <c r="AC18" s="5"/>
      <c r="AD18" s="5"/>
      <c r="AE18" s="5"/>
      <c r="AF18" s="5"/>
      <c r="AG18" s="5"/>
    </row>
    <row r="19">
      <c r="A19" s="37" t="s">
        <v>3197</v>
      </c>
      <c r="B19" s="37" t="s">
        <v>3083</v>
      </c>
      <c r="C19" s="37" t="s">
        <v>332</v>
      </c>
      <c r="D19" s="38" t="s">
        <v>3198</v>
      </c>
      <c r="E19" s="37">
        <v>4333992.0</v>
      </c>
      <c r="F19" s="37" t="s">
        <v>3168</v>
      </c>
      <c r="G19" s="37" t="s">
        <v>3169</v>
      </c>
      <c r="H19" s="37" t="s">
        <v>3199</v>
      </c>
      <c r="I19" s="37" t="s">
        <v>3592</v>
      </c>
      <c r="J19" s="37" t="s">
        <v>1653</v>
      </c>
      <c r="K19" s="37" t="s">
        <v>3590</v>
      </c>
      <c r="L19" s="37" t="s">
        <v>3592</v>
      </c>
      <c r="M19" s="37" t="s">
        <v>3200</v>
      </c>
      <c r="N19" s="37"/>
      <c r="O19" s="37"/>
      <c r="P19" s="37"/>
      <c r="Q19" s="37"/>
      <c r="R19" s="37"/>
      <c r="S19" s="37"/>
      <c r="T19" s="37" t="s">
        <v>536</v>
      </c>
      <c r="U19" s="37"/>
      <c r="V19" s="37"/>
      <c r="W19" s="37"/>
      <c r="X19" s="37"/>
      <c r="Y19" s="37"/>
      <c r="Z19" s="5"/>
      <c r="AA19" s="5"/>
      <c r="AB19" s="5"/>
      <c r="AC19" s="5"/>
      <c r="AD19" s="5"/>
      <c r="AE19" s="5"/>
      <c r="AF19" s="5"/>
      <c r="AG19" s="5"/>
    </row>
    <row r="20">
      <c r="A20" s="37" t="s">
        <v>3201</v>
      </c>
      <c r="B20" s="37" t="s">
        <v>3083</v>
      </c>
      <c r="C20" s="37" t="s">
        <v>332</v>
      </c>
      <c r="D20" s="38" t="s">
        <v>3202</v>
      </c>
      <c r="E20" s="37">
        <v>4333992.0</v>
      </c>
      <c r="F20" s="37" t="s">
        <v>3168</v>
      </c>
      <c r="G20" s="37" t="s">
        <v>3169</v>
      </c>
      <c r="H20" s="37" t="s">
        <v>3199</v>
      </c>
      <c r="I20" s="37" t="s">
        <v>2763</v>
      </c>
      <c r="J20" s="37" t="s">
        <v>1653</v>
      </c>
      <c r="K20" s="37" t="s">
        <v>3590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5"/>
      <c r="AA20" s="5"/>
      <c r="AB20" s="5"/>
      <c r="AC20" s="5"/>
      <c r="AD20" s="5"/>
      <c r="AE20" s="5"/>
      <c r="AF20" s="5"/>
      <c r="AG20" s="5"/>
    </row>
    <row r="21">
      <c r="A21" s="37" t="s">
        <v>3203</v>
      </c>
      <c r="B21" s="37" t="s">
        <v>3083</v>
      </c>
      <c r="C21" s="37" t="s">
        <v>332</v>
      </c>
      <c r="D21" s="38" t="s">
        <v>3204</v>
      </c>
      <c r="E21" s="37">
        <v>4333992.0</v>
      </c>
      <c r="F21" s="37" t="s">
        <v>3168</v>
      </c>
      <c r="G21" s="37" t="s">
        <v>3169</v>
      </c>
      <c r="H21" s="37" t="s">
        <v>3199</v>
      </c>
      <c r="I21" s="37"/>
      <c r="J21" s="37" t="s">
        <v>1653</v>
      </c>
      <c r="K21" s="37" t="s">
        <v>3590</v>
      </c>
      <c r="L21" s="37"/>
      <c r="M21" s="37" t="s">
        <v>3205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5"/>
      <c r="AA21" s="5"/>
      <c r="AB21" s="5"/>
      <c r="AC21" s="5"/>
      <c r="AD21" s="5"/>
      <c r="AE21" s="5"/>
      <c r="AF21" s="5"/>
      <c r="AG21" s="5"/>
    </row>
    <row r="22">
      <c r="A22" s="37" t="s">
        <v>3206</v>
      </c>
      <c r="B22" s="37" t="s">
        <v>3083</v>
      </c>
      <c r="C22" s="37" t="s">
        <v>3593</v>
      </c>
      <c r="D22" s="38" t="s">
        <v>3207</v>
      </c>
      <c r="E22" s="37">
        <v>4333992.0</v>
      </c>
      <c r="F22" s="37" t="s">
        <v>3168</v>
      </c>
      <c r="G22" s="37" t="s">
        <v>3169</v>
      </c>
      <c r="H22" s="37" t="s">
        <v>3208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5"/>
      <c r="AA22" s="5"/>
      <c r="AB22" s="5"/>
      <c r="AC22" s="5"/>
      <c r="AD22" s="5"/>
      <c r="AE22" s="5"/>
      <c r="AF22" s="5"/>
      <c r="AG22" s="5"/>
    </row>
    <row r="23">
      <c r="A23" s="37" t="s">
        <v>3209</v>
      </c>
      <c r="B23" s="37" t="s">
        <v>3083</v>
      </c>
      <c r="C23" s="37" t="s">
        <v>90</v>
      </c>
      <c r="D23" s="38" t="s">
        <v>3210</v>
      </c>
      <c r="E23" s="37" t="s">
        <v>3211</v>
      </c>
      <c r="F23" s="37" t="s">
        <v>3168</v>
      </c>
      <c r="G23" s="37" t="s">
        <v>3169</v>
      </c>
      <c r="H23" s="37" t="s">
        <v>3212</v>
      </c>
      <c r="I23" s="37">
        <v>25.0</v>
      </c>
      <c r="J23" s="37" t="s">
        <v>1653</v>
      </c>
      <c r="K23" s="37" t="s">
        <v>1653</v>
      </c>
      <c r="L23" s="37" t="s">
        <v>1653</v>
      </c>
      <c r="M23" s="37" t="s">
        <v>1653</v>
      </c>
      <c r="N23" s="37" t="s">
        <v>1653</v>
      </c>
      <c r="O23" s="37" t="s">
        <v>1653</v>
      </c>
      <c r="P23" s="37" t="s">
        <v>1653</v>
      </c>
      <c r="Q23" s="37"/>
      <c r="R23" s="37" t="s">
        <v>413</v>
      </c>
      <c r="S23" s="37" t="s">
        <v>3594</v>
      </c>
      <c r="T23" s="37"/>
      <c r="U23" s="37"/>
      <c r="V23" s="37"/>
      <c r="W23" s="37"/>
      <c r="X23" s="37"/>
      <c r="Y23" s="37"/>
      <c r="Z23" s="5"/>
      <c r="AA23" s="5"/>
      <c r="AB23" s="5"/>
      <c r="AC23" s="5"/>
      <c r="AD23" s="5"/>
      <c r="AE23" s="5"/>
      <c r="AF23" s="5"/>
      <c r="AG23" s="5"/>
    </row>
    <row r="24">
      <c r="A24" s="37" t="s">
        <v>3213</v>
      </c>
      <c r="B24" s="37" t="s">
        <v>3083</v>
      </c>
      <c r="C24" s="37" t="s">
        <v>3595</v>
      </c>
      <c r="D24" s="38" t="s">
        <v>3214</v>
      </c>
      <c r="E24" s="37" t="s">
        <v>3215</v>
      </c>
      <c r="F24" s="45" t="s">
        <v>3216</v>
      </c>
      <c r="G24" s="37" t="s">
        <v>3217</v>
      </c>
      <c r="H24" s="37" t="s">
        <v>3218</v>
      </c>
      <c r="I24" s="37">
        <v>630.0</v>
      </c>
      <c r="J24" s="37" t="s">
        <v>3596</v>
      </c>
      <c r="K24" s="37" t="s">
        <v>3597</v>
      </c>
      <c r="L24" s="37" t="s">
        <v>3598</v>
      </c>
      <c r="M24" s="37" t="s">
        <v>3219</v>
      </c>
      <c r="N24" s="37"/>
      <c r="O24" s="37"/>
      <c r="P24" s="37" t="s">
        <v>413</v>
      </c>
      <c r="Q24" s="37" t="s">
        <v>3221</v>
      </c>
      <c r="R24" s="37" t="s">
        <v>413</v>
      </c>
      <c r="S24" s="37" t="s">
        <v>3599</v>
      </c>
      <c r="T24" s="37"/>
      <c r="U24" s="37" t="s">
        <v>413</v>
      </c>
      <c r="V24" s="37" t="s">
        <v>461</v>
      </c>
      <c r="W24" s="37"/>
      <c r="X24" s="37" t="s">
        <v>412</v>
      </c>
      <c r="Y24" s="37" t="s">
        <v>3600</v>
      </c>
      <c r="Z24" s="5"/>
      <c r="AA24" s="5"/>
      <c r="AB24" s="5"/>
      <c r="AC24" s="5"/>
      <c r="AD24" s="5"/>
      <c r="AE24" s="5"/>
      <c r="AF24" s="5"/>
      <c r="AG24" s="5"/>
    </row>
    <row r="25">
      <c r="A25" s="37" t="s">
        <v>3601</v>
      </c>
      <c r="B25" s="37" t="s">
        <v>3083</v>
      </c>
      <c r="C25" s="37" t="s">
        <v>3567</v>
      </c>
      <c r="D25" s="38" t="s">
        <v>3224</v>
      </c>
      <c r="E25" s="37" t="s">
        <v>3225</v>
      </c>
      <c r="F25" s="45" t="s">
        <v>3226</v>
      </c>
      <c r="G25" s="37" t="s">
        <v>3227</v>
      </c>
      <c r="H25" s="37" t="s">
        <v>3228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5"/>
      <c r="AA25" s="5"/>
      <c r="AB25" s="5"/>
      <c r="AC25" s="5"/>
      <c r="AD25" s="5"/>
      <c r="AE25" s="5"/>
      <c r="AF25" s="5"/>
      <c r="AG25" s="5"/>
    </row>
    <row r="26">
      <c r="A26" s="37" t="s">
        <v>3602</v>
      </c>
      <c r="B26" s="37" t="s">
        <v>3083</v>
      </c>
      <c r="C26" s="45" t="s">
        <v>3567</v>
      </c>
      <c r="D26" s="38" t="s">
        <v>3603</v>
      </c>
      <c r="E26" s="37">
        <v>4360300.0</v>
      </c>
      <c r="F26" s="37" t="s">
        <v>3604</v>
      </c>
      <c r="G26" s="37" t="s">
        <v>3605</v>
      </c>
      <c r="H26" s="37" t="s">
        <v>3606</v>
      </c>
      <c r="I26" s="37"/>
      <c r="J26" s="37">
        <v>1.0</v>
      </c>
      <c r="K26" s="37" t="s">
        <v>3587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5"/>
      <c r="AA26" s="5"/>
      <c r="AB26" s="5"/>
      <c r="AC26" s="5"/>
      <c r="AD26" s="5"/>
      <c r="AE26" s="5"/>
      <c r="AF26" s="5"/>
      <c r="AG26" s="5"/>
    </row>
    <row r="27">
      <c r="A27" s="195"/>
      <c r="B27" s="5"/>
      <c r="C27" s="5"/>
      <c r="D27" s="92"/>
      <c r="E27" s="196"/>
      <c r="F27" s="19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9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195"/>
      <c r="B29" s="5"/>
      <c r="C29" s="5"/>
      <c r="D29" s="9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9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9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9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9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9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9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9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9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9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9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9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9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9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9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9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9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9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9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9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9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D50" s="126"/>
    </row>
    <row r="51">
      <c r="D51" s="126"/>
    </row>
    <row r="52">
      <c r="D52" s="126"/>
    </row>
    <row r="53">
      <c r="D53" s="126"/>
    </row>
    <row r="54">
      <c r="D54" s="126"/>
    </row>
    <row r="55">
      <c r="D55" s="126"/>
    </row>
    <row r="56">
      <c r="D56" s="126"/>
    </row>
    <row r="57">
      <c r="D57" s="126"/>
    </row>
    <row r="58">
      <c r="D58" s="126"/>
    </row>
    <row r="59">
      <c r="D59" s="126"/>
    </row>
    <row r="60">
      <c r="D60" s="126"/>
    </row>
    <row r="61">
      <c r="D61" s="126"/>
    </row>
    <row r="62">
      <c r="D62" s="126"/>
    </row>
    <row r="63">
      <c r="D63" s="126"/>
    </row>
    <row r="64">
      <c r="D64" s="126"/>
    </row>
    <row r="65">
      <c r="D65" s="126"/>
    </row>
    <row r="66">
      <c r="D66" s="126"/>
    </row>
    <row r="67">
      <c r="D67" s="126"/>
    </row>
    <row r="68">
      <c r="D68" s="126"/>
    </row>
    <row r="69">
      <c r="D69" s="126"/>
    </row>
    <row r="70">
      <c r="D70" s="126"/>
    </row>
    <row r="71">
      <c r="D71" s="126"/>
    </row>
    <row r="72">
      <c r="D72" s="126"/>
    </row>
    <row r="73">
      <c r="D73" s="126"/>
    </row>
    <row r="74">
      <c r="D74" s="126"/>
    </row>
    <row r="75">
      <c r="D75" s="126"/>
    </row>
    <row r="76">
      <c r="D76" s="126"/>
    </row>
    <row r="77">
      <c r="D77" s="126"/>
    </row>
    <row r="78">
      <c r="D78" s="126"/>
    </row>
    <row r="79">
      <c r="D79" s="126"/>
    </row>
    <row r="80">
      <c r="D80" s="126"/>
    </row>
    <row r="81">
      <c r="D81" s="126"/>
    </row>
    <row r="82">
      <c r="D82" s="126"/>
    </row>
    <row r="83">
      <c r="D83" s="126"/>
    </row>
    <row r="84">
      <c r="D84" s="126"/>
    </row>
    <row r="85">
      <c r="D85" s="126"/>
    </row>
    <row r="86">
      <c r="D86" s="126"/>
    </row>
    <row r="87">
      <c r="D87" s="126"/>
    </row>
    <row r="88">
      <c r="D88" s="126"/>
    </row>
    <row r="89">
      <c r="D89" s="126"/>
    </row>
    <row r="90">
      <c r="D90" s="126"/>
    </row>
    <row r="91">
      <c r="D91" s="126"/>
    </row>
    <row r="92">
      <c r="D92" s="126"/>
    </row>
    <row r="93">
      <c r="D93" s="126"/>
    </row>
    <row r="94">
      <c r="D94" s="126"/>
    </row>
    <row r="95">
      <c r="D95" s="126"/>
    </row>
    <row r="96">
      <c r="D96" s="126"/>
    </row>
    <row r="97">
      <c r="D97" s="126"/>
    </row>
    <row r="98">
      <c r="D98" s="126"/>
    </row>
    <row r="99">
      <c r="D99" s="126"/>
    </row>
    <row r="100">
      <c r="D100" s="126"/>
    </row>
    <row r="101">
      <c r="D101" s="126"/>
    </row>
    <row r="102">
      <c r="D102" s="126"/>
    </row>
    <row r="103">
      <c r="D103" s="126"/>
    </row>
    <row r="104">
      <c r="D104" s="126"/>
    </row>
    <row r="105">
      <c r="D105" s="126"/>
    </row>
    <row r="106">
      <c r="D106" s="126"/>
    </row>
    <row r="107">
      <c r="D107" s="126"/>
    </row>
    <row r="108">
      <c r="D108" s="126"/>
    </row>
    <row r="109">
      <c r="D109" s="126"/>
    </row>
    <row r="110">
      <c r="D110" s="126"/>
    </row>
    <row r="111">
      <c r="D111" s="126"/>
    </row>
    <row r="112">
      <c r="D112" s="126"/>
    </row>
    <row r="113">
      <c r="D113" s="126"/>
    </row>
    <row r="114">
      <c r="D114" s="126"/>
    </row>
    <row r="115">
      <c r="D115" s="126"/>
    </row>
    <row r="116">
      <c r="D116" s="126"/>
    </row>
    <row r="117">
      <c r="D117" s="126"/>
    </row>
    <row r="118">
      <c r="D118" s="126"/>
    </row>
    <row r="119">
      <c r="D119" s="126"/>
    </row>
    <row r="120">
      <c r="D120" s="126"/>
    </row>
    <row r="121">
      <c r="D121" s="126"/>
    </row>
    <row r="122">
      <c r="D122" s="126"/>
    </row>
    <row r="123">
      <c r="D123" s="126"/>
    </row>
    <row r="124">
      <c r="D124" s="126"/>
    </row>
    <row r="125">
      <c r="D125" s="126"/>
    </row>
    <row r="126">
      <c r="D126" s="126"/>
    </row>
    <row r="127">
      <c r="D127" s="126"/>
    </row>
    <row r="128">
      <c r="D128" s="126"/>
    </row>
    <row r="129">
      <c r="D129" s="126"/>
    </row>
    <row r="130">
      <c r="D130" s="126"/>
    </row>
    <row r="131">
      <c r="D131" s="126"/>
    </row>
    <row r="132">
      <c r="D132" s="126"/>
    </row>
    <row r="133">
      <c r="D133" s="126"/>
    </row>
    <row r="134">
      <c r="D134" s="126"/>
    </row>
    <row r="135">
      <c r="D135" s="126"/>
    </row>
    <row r="136">
      <c r="D136" s="126"/>
    </row>
    <row r="137">
      <c r="D137" s="126"/>
    </row>
    <row r="138">
      <c r="D138" s="126"/>
    </row>
    <row r="139">
      <c r="D139" s="126"/>
    </row>
    <row r="140">
      <c r="D140" s="126"/>
    </row>
    <row r="141">
      <c r="D141" s="126"/>
    </row>
    <row r="142">
      <c r="D142" s="126"/>
    </row>
    <row r="143">
      <c r="D143" s="126"/>
    </row>
    <row r="144">
      <c r="D144" s="126"/>
    </row>
    <row r="145">
      <c r="D145" s="126"/>
    </row>
    <row r="146">
      <c r="D146" s="126"/>
    </row>
    <row r="147">
      <c r="D147" s="126"/>
    </row>
    <row r="148">
      <c r="D148" s="126"/>
    </row>
    <row r="149">
      <c r="D149" s="126"/>
    </row>
    <row r="150">
      <c r="D150" s="126"/>
    </row>
    <row r="151">
      <c r="D151" s="126"/>
    </row>
    <row r="152">
      <c r="D152" s="126"/>
    </row>
    <row r="153">
      <c r="D153" s="126"/>
    </row>
    <row r="154">
      <c r="D154" s="126"/>
    </row>
    <row r="155">
      <c r="D155" s="126"/>
    </row>
    <row r="156">
      <c r="D156" s="126"/>
    </row>
    <row r="157">
      <c r="D157" s="126"/>
    </row>
    <row r="158">
      <c r="D158" s="126"/>
    </row>
    <row r="159">
      <c r="D159" s="126"/>
    </row>
    <row r="160">
      <c r="D160" s="126"/>
    </row>
    <row r="161">
      <c r="D161" s="126"/>
    </row>
    <row r="162">
      <c r="D162" s="126"/>
    </row>
    <row r="163">
      <c r="D163" s="126"/>
    </row>
    <row r="164">
      <c r="D164" s="126"/>
    </row>
    <row r="165">
      <c r="D165" s="126"/>
    </row>
    <row r="166">
      <c r="D166" s="126"/>
    </row>
    <row r="167">
      <c r="D167" s="126"/>
    </row>
    <row r="168">
      <c r="D168" s="126"/>
    </row>
    <row r="169">
      <c r="D169" s="126"/>
    </row>
    <row r="170">
      <c r="D170" s="126"/>
    </row>
    <row r="171">
      <c r="D171" s="126"/>
    </row>
    <row r="172">
      <c r="D172" s="126"/>
    </row>
    <row r="173">
      <c r="D173" s="126"/>
    </row>
    <row r="174">
      <c r="D174" s="126"/>
    </row>
    <row r="175">
      <c r="D175" s="126"/>
    </row>
    <row r="176">
      <c r="D176" s="126"/>
    </row>
    <row r="177">
      <c r="D177" s="126"/>
    </row>
    <row r="178">
      <c r="D178" s="126"/>
    </row>
    <row r="179">
      <c r="D179" s="126"/>
    </row>
    <row r="180">
      <c r="D180" s="126"/>
    </row>
    <row r="181">
      <c r="D181" s="126"/>
    </row>
    <row r="182">
      <c r="D182" s="126"/>
    </row>
    <row r="183">
      <c r="D183" s="126"/>
    </row>
    <row r="184">
      <c r="D184" s="126"/>
    </row>
    <row r="185">
      <c r="D185" s="126"/>
    </row>
    <row r="186">
      <c r="D186" s="126"/>
    </row>
    <row r="187">
      <c r="D187" s="126"/>
    </row>
    <row r="188">
      <c r="D188" s="126"/>
    </row>
    <row r="189">
      <c r="D189" s="126"/>
    </row>
    <row r="190">
      <c r="D190" s="126"/>
    </row>
    <row r="191">
      <c r="D191" s="126"/>
    </row>
    <row r="192">
      <c r="D192" s="126"/>
    </row>
    <row r="193">
      <c r="D193" s="126"/>
    </row>
    <row r="194">
      <c r="D194" s="126"/>
    </row>
    <row r="195">
      <c r="D195" s="126"/>
    </row>
    <row r="196">
      <c r="D196" s="126"/>
    </row>
    <row r="197">
      <c r="D197" s="126"/>
    </row>
    <row r="198">
      <c r="D198" s="126"/>
    </row>
    <row r="199">
      <c r="D199" s="126"/>
    </row>
    <row r="200">
      <c r="D200" s="126"/>
    </row>
    <row r="201">
      <c r="D201" s="126"/>
    </row>
    <row r="202">
      <c r="D202" s="126"/>
    </row>
    <row r="203">
      <c r="D203" s="126"/>
    </row>
    <row r="204">
      <c r="D204" s="126"/>
    </row>
    <row r="205">
      <c r="D205" s="126"/>
    </row>
    <row r="206">
      <c r="D206" s="126"/>
    </row>
    <row r="207">
      <c r="D207" s="126"/>
    </row>
    <row r="208">
      <c r="D208" s="126"/>
    </row>
    <row r="209">
      <c r="D209" s="126"/>
    </row>
    <row r="210">
      <c r="D210" s="126"/>
    </row>
    <row r="211">
      <c r="D211" s="126"/>
    </row>
    <row r="212">
      <c r="D212" s="126"/>
    </row>
    <row r="213">
      <c r="D213" s="126"/>
    </row>
    <row r="214">
      <c r="D214" s="126"/>
    </row>
    <row r="215">
      <c r="D215" s="126"/>
    </row>
    <row r="216">
      <c r="D216" s="126"/>
    </row>
    <row r="217">
      <c r="D217" s="126"/>
    </row>
    <row r="218">
      <c r="D218" s="126"/>
    </row>
    <row r="219">
      <c r="D219" s="126"/>
    </row>
    <row r="220">
      <c r="D220" s="126"/>
    </row>
    <row r="221">
      <c r="D221" s="126"/>
    </row>
    <row r="222">
      <c r="D222" s="126"/>
    </row>
    <row r="223">
      <c r="D223" s="126"/>
    </row>
    <row r="224">
      <c r="D224" s="126"/>
    </row>
    <row r="225">
      <c r="D225" s="126"/>
    </row>
    <row r="226">
      <c r="D226" s="126"/>
    </row>
    <row r="227">
      <c r="D227" s="126"/>
    </row>
    <row r="228">
      <c r="D228" s="126"/>
    </row>
    <row r="229">
      <c r="D229" s="126"/>
    </row>
    <row r="230">
      <c r="D230" s="126"/>
    </row>
    <row r="231">
      <c r="D231" s="126"/>
    </row>
    <row r="232">
      <c r="D232" s="126"/>
    </row>
    <row r="233">
      <c r="D233" s="126"/>
    </row>
    <row r="234">
      <c r="D234" s="126"/>
    </row>
    <row r="235">
      <c r="D235" s="126"/>
    </row>
    <row r="236">
      <c r="D236" s="126"/>
    </row>
    <row r="237">
      <c r="D237" s="126"/>
    </row>
    <row r="238">
      <c r="D238" s="126"/>
    </row>
    <row r="239">
      <c r="D239" s="126"/>
    </row>
    <row r="240">
      <c r="D240" s="126"/>
    </row>
    <row r="241">
      <c r="D241" s="126"/>
    </row>
    <row r="242">
      <c r="D242" s="126"/>
    </row>
    <row r="243">
      <c r="D243" s="126"/>
    </row>
    <row r="244">
      <c r="D244" s="126"/>
    </row>
    <row r="245">
      <c r="D245" s="126"/>
    </row>
    <row r="246">
      <c r="D246" s="126"/>
    </row>
    <row r="247">
      <c r="D247" s="126"/>
    </row>
    <row r="248">
      <c r="D248" s="126"/>
    </row>
    <row r="249">
      <c r="D249" s="126"/>
    </row>
    <row r="250">
      <c r="D250" s="126"/>
    </row>
    <row r="251">
      <c r="D251" s="126"/>
    </row>
    <row r="252">
      <c r="D252" s="126"/>
    </row>
    <row r="253">
      <c r="D253" s="126"/>
    </row>
    <row r="254">
      <c r="D254" s="126"/>
    </row>
    <row r="255">
      <c r="D255" s="126"/>
    </row>
    <row r="256">
      <c r="D256" s="126"/>
    </row>
    <row r="257">
      <c r="D257" s="126"/>
    </row>
    <row r="258">
      <c r="D258" s="126"/>
    </row>
    <row r="259">
      <c r="D259" s="126"/>
    </row>
    <row r="260">
      <c r="D260" s="126"/>
    </row>
    <row r="261">
      <c r="D261" s="126"/>
    </row>
    <row r="262">
      <c r="D262" s="126"/>
    </row>
    <row r="263">
      <c r="D263" s="126"/>
    </row>
    <row r="264">
      <c r="D264" s="126"/>
    </row>
    <row r="265">
      <c r="D265" s="126"/>
    </row>
    <row r="266">
      <c r="D266" s="126"/>
    </row>
    <row r="267">
      <c r="D267" s="126"/>
    </row>
    <row r="268">
      <c r="D268" s="126"/>
    </row>
    <row r="269">
      <c r="D269" s="126"/>
    </row>
    <row r="270">
      <c r="D270" s="126"/>
    </row>
    <row r="271">
      <c r="D271" s="126"/>
    </row>
    <row r="272">
      <c r="D272" s="126"/>
    </row>
    <row r="273">
      <c r="D273" s="126"/>
    </row>
    <row r="274">
      <c r="D274" s="126"/>
    </row>
    <row r="275">
      <c r="D275" s="126"/>
    </row>
    <row r="276">
      <c r="D276" s="126"/>
    </row>
    <row r="277">
      <c r="D277" s="126"/>
    </row>
    <row r="278">
      <c r="D278" s="126"/>
    </row>
    <row r="279">
      <c r="D279" s="126"/>
    </row>
    <row r="280">
      <c r="D280" s="126"/>
    </row>
    <row r="281">
      <c r="D281" s="126"/>
    </row>
    <row r="282">
      <c r="D282" s="126"/>
    </row>
    <row r="283">
      <c r="D283" s="126"/>
    </row>
    <row r="284">
      <c r="D284" s="126"/>
    </row>
    <row r="285">
      <c r="D285" s="126"/>
    </row>
    <row r="286">
      <c r="D286" s="126"/>
    </row>
    <row r="287">
      <c r="D287" s="126"/>
    </row>
    <row r="288">
      <c r="D288" s="126"/>
    </row>
    <row r="289">
      <c r="D289" s="126"/>
    </row>
    <row r="290">
      <c r="D290" s="126"/>
    </row>
    <row r="291">
      <c r="D291" s="126"/>
    </row>
    <row r="292">
      <c r="D292" s="126"/>
    </row>
    <row r="293">
      <c r="D293" s="126"/>
    </row>
    <row r="294">
      <c r="D294" s="126"/>
    </row>
    <row r="295">
      <c r="D295" s="126"/>
    </row>
    <row r="296">
      <c r="D296" s="126"/>
    </row>
    <row r="297">
      <c r="D297" s="126"/>
    </row>
    <row r="298">
      <c r="D298" s="126"/>
    </row>
    <row r="299">
      <c r="D299" s="126"/>
    </row>
    <row r="300">
      <c r="D300" s="126"/>
    </row>
    <row r="301">
      <c r="D301" s="126"/>
    </row>
    <row r="302">
      <c r="D302" s="126"/>
    </row>
    <row r="303">
      <c r="D303" s="126"/>
    </row>
    <row r="304">
      <c r="D304" s="126"/>
    </row>
    <row r="305">
      <c r="D305" s="126"/>
    </row>
    <row r="306">
      <c r="D306" s="126"/>
    </row>
    <row r="307">
      <c r="D307" s="126"/>
    </row>
    <row r="308">
      <c r="D308" s="126"/>
    </row>
    <row r="309">
      <c r="D309" s="126"/>
    </row>
    <row r="310">
      <c r="D310" s="126"/>
    </row>
    <row r="311">
      <c r="D311" s="126"/>
    </row>
    <row r="312">
      <c r="D312" s="126"/>
    </row>
    <row r="313">
      <c r="D313" s="126"/>
    </row>
    <row r="314">
      <c r="D314" s="126"/>
    </row>
    <row r="315">
      <c r="D315" s="126"/>
    </row>
    <row r="316">
      <c r="D316" s="126"/>
    </row>
    <row r="317">
      <c r="D317" s="126"/>
    </row>
    <row r="318">
      <c r="D318" s="126"/>
    </row>
    <row r="319">
      <c r="D319" s="126"/>
    </row>
    <row r="320">
      <c r="D320" s="126"/>
    </row>
    <row r="321">
      <c r="D321" s="126"/>
    </row>
    <row r="322">
      <c r="D322" s="126"/>
    </row>
    <row r="323">
      <c r="D323" s="126"/>
    </row>
    <row r="324">
      <c r="D324" s="126"/>
    </row>
    <row r="325">
      <c r="D325" s="126"/>
    </row>
    <row r="326">
      <c r="D326" s="126"/>
    </row>
    <row r="327">
      <c r="D327" s="126"/>
    </row>
    <row r="328">
      <c r="D328" s="126"/>
    </row>
    <row r="329">
      <c r="D329" s="126"/>
    </row>
    <row r="330">
      <c r="D330" s="126"/>
    </row>
    <row r="331">
      <c r="D331" s="126"/>
    </row>
    <row r="332">
      <c r="D332" s="126"/>
    </row>
    <row r="333">
      <c r="D333" s="126"/>
    </row>
    <row r="334">
      <c r="D334" s="126"/>
    </row>
    <row r="335">
      <c r="D335" s="126"/>
    </row>
    <row r="336">
      <c r="D336" s="126"/>
    </row>
    <row r="337">
      <c r="D337" s="126"/>
    </row>
    <row r="338">
      <c r="D338" s="126"/>
    </row>
    <row r="339">
      <c r="D339" s="126"/>
    </row>
    <row r="340">
      <c r="D340" s="126"/>
    </row>
    <row r="341">
      <c r="D341" s="126"/>
    </row>
    <row r="342">
      <c r="D342" s="126"/>
    </row>
    <row r="343">
      <c r="D343" s="126"/>
    </row>
    <row r="344">
      <c r="D344" s="126"/>
    </row>
    <row r="345">
      <c r="D345" s="126"/>
    </row>
    <row r="346">
      <c r="D346" s="126"/>
    </row>
    <row r="347">
      <c r="D347" s="126"/>
    </row>
    <row r="348">
      <c r="D348" s="126"/>
    </row>
    <row r="349">
      <c r="D349" s="126"/>
    </row>
    <row r="350">
      <c r="D350" s="126"/>
    </row>
    <row r="351">
      <c r="D351" s="126"/>
    </row>
    <row r="352">
      <c r="D352" s="126"/>
    </row>
    <row r="353">
      <c r="D353" s="126"/>
    </row>
    <row r="354">
      <c r="D354" s="126"/>
    </row>
    <row r="355">
      <c r="D355" s="126"/>
    </row>
    <row r="356">
      <c r="D356" s="126"/>
    </row>
    <row r="357">
      <c r="D357" s="126"/>
    </row>
    <row r="358">
      <c r="D358" s="126"/>
    </row>
    <row r="359">
      <c r="D359" s="126"/>
    </row>
    <row r="360">
      <c r="D360" s="126"/>
    </row>
    <row r="361">
      <c r="D361" s="126"/>
    </row>
    <row r="362">
      <c r="D362" s="126"/>
    </row>
    <row r="363">
      <c r="D363" s="126"/>
    </row>
    <row r="364">
      <c r="D364" s="126"/>
    </row>
    <row r="365">
      <c r="D365" s="126"/>
    </row>
    <row r="366">
      <c r="D366" s="126"/>
    </row>
    <row r="367">
      <c r="D367" s="126"/>
    </row>
    <row r="368">
      <c r="D368" s="126"/>
    </row>
    <row r="369">
      <c r="D369" s="126"/>
    </row>
    <row r="370">
      <c r="D370" s="126"/>
    </row>
    <row r="371">
      <c r="D371" s="126"/>
    </row>
    <row r="372">
      <c r="D372" s="126"/>
    </row>
    <row r="373">
      <c r="D373" s="126"/>
    </row>
    <row r="374">
      <c r="D374" s="126"/>
    </row>
    <row r="375">
      <c r="D375" s="126"/>
    </row>
    <row r="376">
      <c r="D376" s="126"/>
    </row>
    <row r="377">
      <c r="D377" s="126"/>
    </row>
    <row r="378">
      <c r="D378" s="126"/>
    </row>
    <row r="379">
      <c r="D379" s="126"/>
    </row>
    <row r="380">
      <c r="D380" s="126"/>
    </row>
    <row r="381">
      <c r="D381" s="126"/>
    </row>
    <row r="382">
      <c r="D382" s="126"/>
    </row>
    <row r="383">
      <c r="D383" s="126"/>
    </row>
    <row r="384">
      <c r="D384" s="126"/>
    </row>
    <row r="385">
      <c r="D385" s="126"/>
    </row>
    <row r="386">
      <c r="D386" s="126"/>
    </row>
    <row r="387">
      <c r="D387" s="126"/>
    </row>
    <row r="388">
      <c r="D388" s="126"/>
    </row>
    <row r="389">
      <c r="D389" s="126"/>
    </row>
    <row r="390">
      <c r="D390" s="126"/>
    </row>
    <row r="391">
      <c r="D391" s="126"/>
    </row>
    <row r="392">
      <c r="D392" s="126"/>
    </row>
    <row r="393">
      <c r="D393" s="126"/>
    </row>
    <row r="394">
      <c r="D394" s="126"/>
    </row>
    <row r="395">
      <c r="D395" s="126"/>
    </row>
    <row r="396">
      <c r="D396" s="126"/>
    </row>
    <row r="397">
      <c r="D397" s="126"/>
    </row>
    <row r="398">
      <c r="D398" s="126"/>
    </row>
    <row r="399">
      <c r="D399" s="126"/>
    </row>
    <row r="400">
      <c r="D400" s="126"/>
    </row>
    <row r="401">
      <c r="D401" s="126"/>
    </row>
    <row r="402">
      <c r="D402" s="126"/>
    </row>
    <row r="403">
      <c r="D403" s="126"/>
    </row>
    <row r="404">
      <c r="D404" s="126"/>
    </row>
    <row r="405">
      <c r="D405" s="126"/>
    </row>
    <row r="406">
      <c r="D406" s="126"/>
    </row>
    <row r="407">
      <c r="D407" s="126"/>
    </row>
    <row r="408">
      <c r="D408" s="126"/>
    </row>
    <row r="409">
      <c r="D409" s="126"/>
    </row>
    <row r="410">
      <c r="D410" s="126"/>
    </row>
    <row r="411">
      <c r="D411" s="126"/>
    </row>
    <row r="412">
      <c r="D412" s="126"/>
    </row>
    <row r="413">
      <c r="D413" s="126"/>
    </row>
    <row r="414">
      <c r="D414" s="126"/>
    </row>
    <row r="415">
      <c r="D415" s="126"/>
    </row>
    <row r="416">
      <c r="D416" s="126"/>
    </row>
    <row r="417">
      <c r="D417" s="126"/>
    </row>
    <row r="418">
      <c r="D418" s="126"/>
    </row>
    <row r="419">
      <c r="D419" s="126"/>
    </row>
    <row r="420">
      <c r="D420" s="126"/>
    </row>
    <row r="421">
      <c r="D421" s="126"/>
    </row>
    <row r="422">
      <c r="D422" s="126"/>
    </row>
    <row r="423">
      <c r="D423" s="126"/>
    </row>
    <row r="424">
      <c r="D424" s="126"/>
    </row>
    <row r="425">
      <c r="D425" s="126"/>
    </row>
    <row r="426">
      <c r="D426" s="126"/>
    </row>
    <row r="427">
      <c r="D427" s="126"/>
    </row>
    <row r="428">
      <c r="D428" s="126"/>
    </row>
    <row r="429">
      <c r="D429" s="126"/>
    </row>
    <row r="430">
      <c r="D430" s="126"/>
    </row>
    <row r="431">
      <c r="D431" s="126"/>
    </row>
    <row r="432">
      <c r="D432" s="126"/>
    </row>
    <row r="433">
      <c r="D433" s="126"/>
    </row>
    <row r="434">
      <c r="D434" s="126"/>
    </row>
    <row r="435">
      <c r="D435" s="126"/>
    </row>
    <row r="436">
      <c r="D436" s="126"/>
    </row>
    <row r="437">
      <c r="D437" s="126"/>
    </row>
    <row r="438">
      <c r="D438" s="126"/>
    </row>
    <row r="439">
      <c r="D439" s="126"/>
    </row>
    <row r="440">
      <c r="D440" s="126"/>
    </row>
    <row r="441">
      <c r="D441" s="126"/>
    </row>
    <row r="442">
      <c r="D442" s="126"/>
    </row>
    <row r="443">
      <c r="D443" s="126"/>
    </row>
    <row r="444">
      <c r="D444" s="126"/>
    </row>
    <row r="445">
      <c r="D445" s="126"/>
    </row>
    <row r="446">
      <c r="D446" s="126"/>
    </row>
    <row r="447">
      <c r="D447" s="126"/>
    </row>
    <row r="448">
      <c r="D448" s="126"/>
    </row>
    <row r="449">
      <c r="D449" s="126"/>
    </row>
    <row r="450">
      <c r="D450" s="126"/>
    </row>
    <row r="451">
      <c r="D451" s="126"/>
    </row>
    <row r="452">
      <c r="D452" s="126"/>
    </row>
    <row r="453">
      <c r="D453" s="126"/>
    </row>
    <row r="454">
      <c r="D454" s="126"/>
    </row>
    <row r="455">
      <c r="D455" s="126"/>
    </row>
    <row r="456">
      <c r="D456" s="126"/>
    </row>
    <row r="457">
      <c r="D457" s="126"/>
    </row>
    <row r="458">
      <c r="D458" s="126"/>
    </row>
    <row r="459">
      <c r="D459" s="126"/>
    </row>
    <row r="460">
      <c r="D460" s="126"/>
    </row>
    <row r="461">
      <c r="D461" s="126"/>
    </row>
    <row r="462">
      <c r="D462" s="126"/>
    </row>
    <row r="463">
      <c r="D463" s="126"/>
    </row>
    <row r="464">
      <c r="D464" s="126"/>
    </row>
    <row r="465">
      <c r="D465" s="126"/>
    </row>
    <row r="466">
      <c r="D466" s="126"/>
    </row>
    <row r="467">
      <c r="D467" s="126"/>
    </row>
    <row r="468">
      <c r="D468" s="126"/>
    </row>
    <row r="469">
      <c r="D469" s="126"/>
    </row>
    <row r="470">
      <c r="D470" s="126"/>
    </row>
    <row r="471">
      <c r="D471" s="126"/>
    </row>
    <row r="472">
      <c r="D472" s="126"/>
    </row>
    <row r="473">
      <c r="D473" s="126"/>
    </row>
    <row r="474">
      <c r="D474" s="126"/>
    </row>
    <row r="475">
      <c r="D475" s="126"/>
    </row>
    <row r="476">
      <c r="D476" s="126"/>
    </row>
    <row r="477">
      <c r="D477" s="126"/>
    </row>
    <row r="478">
      <c r="D478" s="126"/>
    </row>
    <row r="479">
      <c r="D479" s="126"/>
    </row>
    <row r="480">
      <c r="D480" s="126"/>
    </row>
    <row r="481">
      <c r="D481" s="126"/>
    </row>
    <row r="482">
      <c r="D482" s="126"/>
    </row>
    <row r="483">
      <c r="D483" s="126"/>
    </row>
    <row r="484">
      <c r="D484" s="126"/>
    </row>
    <row r="485">
      <c r="D485" s="126"/>
    </row>
    <row r="486">
      <c r="D486" s="126"/>
    </row>
    <row r="487">
      <c r="D487" s="126"/>
    </row>
    <row r="488">
      <c r="D488" s="126"/>
    </row>
    <row r="489">
      <c r="D489" s="126"/>
    </row>
    <row r="490">
      <c r="D490" s="126"/>
    </row>
    <row r="491">
      <c r="D491" s="126"/>
    </row>
    <row r="492">
      <c r="D492" s="126"/>
    </row>
    <row r="493">
      <c r="D493" s="126"/>
    </row>
    <row r="494">
      <c r="D494" s="126"/>
    </row>
    <row r="495">
      <c r="D495" s="126"/>
    </row>
    <row r="496">
      <c r="D496" s="126"/>
    </row>
    <row r="497">
      <c r="D497" s="126"/>
    </row>
    <row r="498">
      <c r="D498" s="126"/>
    </row>
    <row r="499">
      <c r="D499" s="126"/>
    </row>
    <row r="500">
      <c r="D500" s="126"/>
    </row>
    <row r="501">
      <c r="D501" s="126"/>
    </row>
    <row r="502">
      <c r="D502" s="126"/>
    </row>
    <row r="503">
      <c r="D503" s="126"/>
    </row>
    <row r="504">
      <c r="D504" s="126"/>
    </row>
    <row r="505">
      <c r="D505" s="126"/>
    </row>
    <row r="506">
      <c r="D506" s="126"/>
    </row>
    <row r="507">
      <c r="D507" s="126"/>
    </row>
    <row r="508">
      <c r="D508" s="126"/>
    </row>
    <row r="509">
      <c r="D509" s="126"/>
    </row>
    <row r="510">
      <c r="D510" s="126"/>
    </row>
    <row r="511">
      <c r="D511" s="126"/>
    </row>
    <row r="512">
      <c r="D512" s="126"/>
    </row>
    <row r="513">
      <c r="D513" s="126"/>
    </row>
    <row r="514">
      <c r="D514" s="126"/>
    </row>
    <row r="515">
      <c r="D515" s="126"/>
    </row>
    <row r="516">
      <c r="D516" s="126"/>
    </row>
    <row r="517">
      <c r="D517" s="126"/>
    </row>
    <row r="518">
      <c r="D518" s="126"/>
    </row>
    <row r="519">
      <c r="D519" s="126"/>
    </row>
    <row r="520">
      <c r="D520" s="126"/>
    </row>
    <row r="521">
      <c r="D521" s="126"/>
    </row>
    <row r="522">
      <c r="D522" s="126"/>
    </row>
    <row r="523">
      <c r="D523" s="126"/>
    </row>
    <row r="524">
      <c r="D524" s="126"/>
    </row>
    <row r="525">
      <c r="D525" s="126"/>
    </row>
    <row r="526">
      <c r="D526" s="126"/>
    </row>
    <row r="527">
      <c r="D527" s="126"/>
    </row>
    <row r="528">
      <c r="D528" s="126"/>
    </row>
    <row r="529">
      <c r="D529" s="126"/>
    </row>
    <row r="530">
      <c r="D530" s="126"/>
    </row>
    <row r="531">
      <c r="D531" s="126"/>
    </row>
    <row r="532">
      <c r="D532" s="126"/>
    </row>
    <row r="533">
      <c r="D533" s="126"/>
    </row>
    <row r="534">
      <c r="D534" s="126"/>
    </row>
    <row r="535">
      <c r="D535" s="126"/>
    </row>
    <row r="536">
      <c r="D536" s="126"/>
    </row>
    <row r="537">
      <c r="D537" s="126"/>
    </row>
    <row r="538">
      <c r="D538" s="126"/>
    </row>
    <row r="539">
      <c r="D539" s="126"/>
    </row>
    <row r="540">
      <c r="D540" s="126"/>
    </row>
    <row r="541">
      <c r="D541" s="126"/>
    </row>
    <row r="542">
      <c r="D542" s="126"/>
    </row>
    <row r="543">
      <c r="D543" s="126"/>
    </row>
    <row r="544">
      <c r="D544" s="126"/>
    </row>
    <row r="545">
      <c r="D545" s="126"/>
    </row>
    <row r="546">
      <c r="D546" s="126"/>
    </row>
    <row r="547">
      <c r="D547" s="126"/>
    </row>
    <row r="548">
      <c r="D548" s="126"/>
    </row>
    <row r="549">
      <c r="D549" s="126"/>
    </row>
    <row r="550">
      <c r="D550" s="126"/>
    </row>
    <row r="551">
      <c r="D551" s="126"/>
    </row>
    <row r="552">
      <c r="D552" s="126"/>
    </row>
    <row r="553">
      <c r="D553" s="126"/>
    </row>
    <row r="554">
      <c r="D554" s="126"/>
    </row>
    <row r="555">
      <c r="D555" s="126"/>
    </row>
    <row r="556">
      <c r="D556" s="126"/>
    </row>
    <row r="557">
      <c r="D557" s="126"/>
    </row>
    <row r="558">
      <c r="D558" s="126"/>
    </row>
    <row r="559">
      <c r="D559" s="126"/>
    </row>
    <row r="560">
      <c r="D560" s="126"/>
    </row>
    <row r="561">
      <c r="D561" s="126"/>
    </row>
    <row r="562">
      <c r="D562" s="126"/>
    </row>
    <row r="563">
      <c r="D563" s="126"/>
    </row>
    <row r="564">
      <c r="D564" s="126"/>
    </row>
    <row r="565">
      <c r="D565" s="126"/>
    </row>
    <row r="566">
      <c r="D566" s="126"/>
    </row>
    <row r="567">
      <c r="D567" s="126"/>
    </row>
    <row r="568">
      <c r="D568" s="126"/>
    </row>
    <row r="569">
      <c r="D569" s="126"/>
    </row>
    <row r="570">
      <c r="D570" s="126"/>
    </row>
    <row r="571">
      <c r="D571" s="126"/>
    </row>
    <row r="572">
      <c r="D572" s="126"/>
    </row>
    <row r="573">
      <c r="D573" s="126"/>
    </row>
    <row r="574">
      <c r="D574" s="126"/>
    </row>
    <row r="575">
      <c r="D575" s="126"/>
    </row>
    <row r="576">
      <c r="D576" s="126"/>
    </row>
    <row r="577">
      <c r="D577" s="126"/>
    </row>
    <row r="578">
      <c r="D578" s="126"/>
    </row>
    <row r="579">
      <c r="D579" s="126"/>
    </row>
    <row r="580">
      <c r="D580" s="126"/>
    </row>
    <row r="581">
      <c r="D581" s="126"/>
    </row>
    <row r="582">
      <c r="D582" s="126"/>
    </row>
    <row r="583">
      <c r="D583" s="126"/>
    </row>
    <row r="584">
      <c r="D584" s="126"/>
    </row>
    <row r="585">
      <c r="D585" s="126"/>
    </row>
    <row r="586">
      <c r="D586" s="126"/>
    </row>
    <row r="587">
      <c r="D587" s="126"/>
    </row>
    <row r="588">
      <c r="D588" s="126"/>
    </row>
    <row r="589">
      <c r="D589" s="126"/>
    </row>
    <row r="590">
      <c r="D590" s="126"/>
    </row>
    <row r="591">
      <c r="D591" s="126"/>
    </row>
    <row r="592">
      <c r="D592" s="126"/>
    </row>
    <row r="593">
      <c r="D593" s="126"/>
    </row>
    <row r="594">
      <c r="D594" s="126"/>
    </row>
    <row r="595">
      <c r="D595" s="126"/>
    </row>
    <row r="596">
      <c r="D596" s="126"/>
    </row>
    <row r="597">
      <c r="D597" s="126"/>
    </row>
    <row r="598">
      <c r="D598" s="126"/>
    </row>
    <row r="599">
      <c r="D599" s="126"/>
    </row>
    <row r="600">
      <c r="D600" s="126"/>
    </row>
    <row r="601">
      <c r="D601" s="126"/>
    </row>
    <row r="602">
      <c r="D602" s="126"/>
    </row>
    <row r="603">
      <c r="D603" s="126"/>
    </row>
    <row r="604">
      <c r="D604" s="126"/>
    </row>
    <row r="605">
      <c r="D605" s="126"/>
    </row>
    <row r="606">
      <c r="D606" s="126"/>
    </row>
    <row r="607">
      <c r="D607" s="126"/>
    </row>
    <row r="608">
      <c r="D608" s="126"/>
    </row>
    <row r="609">
      <c r="D609" s="126"/>
    </row>
    <row r="610">
      <c r="D610" s="126"/>
    </row>
    <row r="611">
      <c r="D611" s="126"/>
    </row>
    <row r="612">
      <c r="D612" s="126"/>
    </row>
    <row r="613">
      <c r="D613" s="126"/>
    </row>
    <row r="614">
      <c r="D614" s="126"/>
    </row>
    <row r="615">
      <c r="D615" s="126"/>
    </row>
    <row r="616">
      <c r="D616" s="126"/>
    </row>
    <row r="617">
      <c r="D617" s="126"/>
    </row>
    <row r="618">
      <c r="D618" s="126"/>
    </row>
    <row r="619">
      <c r="D619" s="126"/>
    </row>
    <row r="620">
      <c r="D620" s="126"/>
    </row>
    <row r="621">
      <c r="D621" s="126"/>
    </row>
    <row r="622">
      <c r="D622" s="126"/>
    </row>
    <row r="623">
      <c r="D623" s="126"/>
    </row>
    <row r="624">
      <c r="D624" s="126"/>
    </row>
    <row r="625">
      <c r="D625" s="126"/>
    </row>
    <row r="626">
      <c r="D626" s="126"/>
    </row>
    <row r="627">
      <c r="D627" s="126"/>
    </row>
    <row r="628">
      <c r="D628" s="126"/>
    </row>
    <row r="629">
      <c r="D629" s="126"/>
    </row>
    <row r="630">
      <c r="D630" s="126"/>
    </row>
    <row r="631">
      <c r="D631" s="126"/>
    </row>
    <row r="632">
      <c r="D632" s="126"/>
    </row>
    <row r="633">
      <c r="D633" s="126"/>
    </row>
    <row r="634">
      <c r="D634" s="126"/>
    </row>
    <row r="635">
      <c r="D635" s="126"/>
    </row>
    <row r="636">
      <c r="D636" s="126"/>
    </row>
    <row r="637">
      <c r="D637" s="126"/>
    </row>
    <row r="638">
      <c r="D638" s="126"/>
    </row>
    <row r="639">
      <c r="D639" s="126"/>
    </row>
    <row r="640">
      <c r="D640" s="126"/>
    </row>
    <row r="641">
      <c r="D641" s="126"/>
    </row>
    <row r="642">
      <c r="D642" s="126"/>
    </row>
    <row r="643">
      <c r="D643" s="126"/>
    </row>
    <row r="644">
      <c r="D644" s="126"/>
    </row>
    <row r="645">
      <c r="D645" s="126"/>
    </row>
    <row r="646">
      <c r="D646" s="126"/>
    </row>
    <row r="647">
      <c r="D647" s="126"/>
    </row>
    <row r="648">
      <c r="D648" s="126"/>
    </row>
    <row r="649">
      <c r="D649" s="126"/>
    </row>
    <row r="650">
      <c r="D650" s="126"/>
    </row>
    <row r="651">
      <c r="D651" s="126"/>
    </row>
    <row r="652">
      <c r="D652" s="126"/>
    </row>
    <row r="653">
      <c r="D653" s="126"/>
    </row>
    <row r="654">
      <c r="D654" s="126"/>
    </row>
    <row r="655">
      <c r="D655" s="126"/>
    </row>
    <row r="656">
      <c r="D656" s="126"/>
    </row>
    <row r="657">
      <c r="D657" s="126"/>
    </row>
    <row r="658">
      <c r="D658" s="126"/>
    </row>
    <row r="659">
      <c r="D659" s="126"/>
    </row>
    <row r="660">
      <c r="D660" s="126"/>
    </row>
    <row r="661">
      <c r="D661" s="126"/>
    </row>
    <row r="662">
      <c r="D662" s="126"/>
    </row>
    <row r="663">
      <c r="D663" s="126"/>
    </row>
    <row r="664">
      <c r="D664" s="126"/>
    </row>
    <row r="665">
      <c r="D665" s="126"/>
    </row>
    <row r="666">
      <c r="D666" s="126"/>
    </row>
    <row r="667">
      <c r="D667" s="126"/>
    </row>
    <row r="668">
      <c r="D668" s="126"/>
    </row>
    <row r="669">
      <c r="D669" s="126"/>
    </row>
    <row r="670">
      <c r="D670" s="126"/>
    </row>
    <row r="671">
      <c r="D671" s="126"/>
    </row>
    <row r="672">
      <c r="D672" s="126"/>
    </row>
    <row r="673">
      <c r="D673" s="126"/>
    </row>
    <row r="674">
      <c r="D674" s="126"/>
    </row>
    <row r="675">
      <c r="D675" s="126"/>
    </row>
    <row r="676">
      <c r="D676" s="126"/>
    </row>
    <row r="677">
      <c r="D677" s="126"/>
    </row>
    <row r="678">
      <c r="D678" s="126"/>
    </row>
    <row r="679">
      <c r="D679" s="126"/>
    </row>
    <row r="680">
      <c r="D680" s="126"/>
    </row>
    <row r="681">
      <c r="D681" s="126"/>
    </row>
    <row r="682">
      <c r="D682" s="126"/>
    </row>
    <row r="683">
      <c r="D683" s="126"/>
    </row>
    <row r="684">
      <c r="D684" s="126"/>
    </row>
    <row r="685">
      <c r="D685" s="126"/>
    </row>
    <row r="686">
      <c r="D686" s="126"/>
    </row>
    <row r="687">
      <c r="D687" s="126"/>
    </row>
    <row r="688">
      <c r="D688" s="126"/>
    </row>
    <row r="689">
      <c r="D689" s="126"/>
    </row>
    <row r="690">
      <c r="D690" s="126"/>
    </row>
    <row r="691">
      <c r="D691" s="126"/>
    </row>
    <row r="692">
      <c r="D692" s="126"/>
    </row>
    <row r="693">
      <c r="D693" s="126"/>
    </row>
    <row r="694">
      <c r="D694" s="126"/>
    </row>
    <row r="695">
      <c r="D695" s="126"/>
    </row>
    <row r="696">
      <c r="D696" s="126"/>
    </row>
    <row r="697">
      <c r="D697" s="126"/>
    </row>
    <row r="698">
      <c r="D698" s="126"/>
    </row>
    <row r="699">
      <c r="D699" s="126"/>
    </row>
    <row r="700">
      <c r="D700" s="126"/>
    </row>
    <row r="701">
      <c r="D701" s="126"/>
    </row>
    <row r="702">
      <c r="D702" s="126"/>
    </row>
    <row r="703">
      <c r="D703" s="126"/>
    </row>
    <row r="704">
      <c r="D704" s="126"/>
    </row>
    <row r="705">
      <c r="D705" s="126"/>
    </row>
    <row r="706">
      <c r="D706" s="126"/>
    </row>
    <row r="707">
      <c r="D707" s="126"/>
    </row>
    <row r="708">
      <c r="D708" s="126"/>
    </row>
    <row r="709">
      <c r="D709" s="126"/>
    </row>
    <row r="710">
      <c r="D710" s="126"/>
    </row>
    <row r="711">
      <c r="D711" s="126"/>
    </row>
    <row r="712">
      <c r="D712" s="126"/>
    </row>
    <row r="713">
      <c r="D713" s="126"/>
    </row>
    <row r="714">
      <c r="D714" s="126"/>
    </row>
    <row r="715">
      <c r="D715" s="126"/>
    </row>
    <row r="716">
      <c r="D716" s="126"/>
    </row>
    <row r="717">
      <c r="D717" s="126"/>
    </row>
    <row r="718">
      <c r="D718" s="126"/>
    </row>
    <row r="719">
      <c r="D719" s="126"/>
    </row>
    <row r="720">
      <c r="D720" s="126"/>
    </row>
    <row r="721">
      <c r="D721" s="126"/>
    </row>
    <row r="722">
      <c r="D722" s="126"/>
    </row>
    <row r="723">
      <c r="D723" s="126"/>
    </row>
    <row r="724">
      <c r="D724" s="126"/>
    </row>
    <row r="725">
      <c r="D725" s="126"/>
    </row>
    <row r="726">
      <c r="D726" s="126"/>
    </row>
    <row r="727">
      <c r="D727" s="126"/>
    </row>
    <row r="728">
      <c r="D728" s="126"/>
    </row>
    <row r="729">
      <c r="D729" s="126"/>
    </row>
    <row r="730">
      <c r="D730" s="126"/>
    </row>
    <row r="731">
      <c r="D731" s="126"/>
    </row>
    <row r="732">
      <c r="D732" s="126"/>
    </row>
    <row r="733">
      <c r="D733" s="126"/>
    </row>
    <row r="734">
      <c r="D734" s="126"/>
    </row>
    <row r="735">
      <c r="D735" s="126"/>
    </row>
    <row r="736">
      <c r="D736" s="126"/>
    </row>
    <row r="737">
      <c r="D737" s="126"/>
    </row>
    <row r="738">
      <c r="D738" s="126"/>
    </row>
    <row r="739">
      <c r="D739" s="126"/>
    </row>
    <row r="740">
      <c r="D740" s="126"/>
    </row>
    <row r="741">
      <c r="D741" s="126"/>
    </row>
    <row r="742">
      <c r="D742" s="126"/>
    </row>
    <row r="743">
      <c r="D743" s="126"/>
    </row>
    <row r="744">
      <c r="D744" s="126"/>
    </row>
    <row r="745">
      <c r="D745" s="126"/>
    </row>
    <row r="746">
      <c r="D746" s="126"/>
    </row>
    <row r="747">
      <c r="D747" s="126"/>
    </row>
    <row r="748">
      <c r="D748" s="126"/>
    </row>
    <row r="749">
      <c r="D749" s="126"/>
    </row>
    <row r="750">
      <c r="D750" s="126"/>
    </row>
    <row r="751">
      <c r="D751" s="126"/>
    </row>
    <row r="752">
      <c r="D752" s="126"/>
    </row>
    <row r="753">
      <c r="D753" s="126"/>
    </row>
    <row r="754">
      <c r="D754" s="126"/>
    </row>
    <row r="755">
      <c r="D755" s="126"/>
    </row>
    <row r="756">
      <c r="D756" s="126"/>
    </row>
    <row r="757">
      <c r="D757" s="126"/>
    </row>
    <row r="758">
      <c r="D758" s="126"/>
    </row>
    <row r="759">
      <c r="D759" s="126"/>
    </row>
    <row r="760">
      <c r="D760" s="126"/>
    </row>
    <row r="761">
      <c r="D761" s="126"/>
    </row>
    <row r="762">
      <c r="D762" s="126"/>
    </row>
    <row r="763">
      <c r="D763" s="126"/>
    </row>
    <row r="764">
      <c r="D764" s="126"/>
    </row>
    <row r="765">
      <c r="D765" s="126"/>
    </row>
    <row r="766">
      <c r="D766" s="126"/>
    </row>
    <row r="767">
      <c r="D767" s="126"/>
    </row>
    <row r="768">
      <c r="D768" s="126"/>
    </row>
    <row r="769">
      <c r="D769" s="126"/>
    </row>
    <row r="770">
      <c r="D770" s="126"/>
    </row>
    <row r="771">
      <c r="D771" s="126"/>
    </row>
    <row r="772">
      <c r="D772" s="126"/>
    </row>
    <row r="773">
      <c r="D773" s="126"/>
    </row>
    <row r="774">
      <c r="D774" s="126"/>
    </row>
    <row r="775">
      <c r="D775" s="126"/>
    </row>
    <row r="776">
      <c r="D776" s="126"/>
    </row>
    <row r="777">
      <c r="D777" s="126"/>
    </row>
    <row r="778">
      <c r="D778" s="126"/>
    </row>
    <row r="779">
      <c r="D779" s="126"/>
    </row>
    <row r="780">
      <c r="D780" s="126"/>
    </row>
    <row r="781">
      <c r="D781" s="126"/>
    </row>
    <row r="782">
      <c r="D782" s="126"/>
    </row>
    <row r="783">
      <c r="D783" s="126"/>
    </row>
    <row r="784">
      <c r="D784" s="126"/>
    </row>
    <row r="785">
      <c r="D785" s="126"/>
    </row>
    <row r="786">
      <c r="D786" s="126"/>
    </row>
    <row r="787">
      <c r="D787" s="126"/>
    </row>
    <row r="788">
      <c r="D788" s="126"/>
    </row>
    <row r="789">
      <c r="D789" s="126"/>
    </row>
    <row r="790">
      <c r="D790" s="126"/>
    </row>
    <row r="791">
      <c r="D791" s="126"/>
    </row>
    <row r="792">
      <c r="D792" s="126"/>
    </row>
    <row r="793">
      <c r="D793" s="126"/>
    </row>
    <row r="794">
      <c r="D794" s="126"/>
    </row>
    <row r="795">
      <c r="D795" s="126"/>
    </row>
    <row r="796">
      <c r="D796" s="126"/>
    </row>
    <row r="797">
      <c r="D797" s="126"/>
    </row>
    <row r="798">
      <c r="D798" s="126"/>
    </row>
    <row r="799">
      <c r="D799" s="126"/>
    </row>
    <row r="800">
      <c r="D800" s="126"/>
    </row>
    <row r="801">
      <c r="D801" s="126"/>
    </row>
    <row r="802">
      <c r="D802" s="126"/>
    </row>
    <row r="803">
      <c r="D803" s="126"/>
    </row>
    <row r="804">
      <c r="D804" s="126"/>
    </row>
    <row r="805">
      <c r="D805" s="126"/>
    </row>
    <row r="806">
      <c r="D806" s="126"/>
    </row>
    <row r="807">
      <c r="D807" s="126"/>
    </row>
    <row r="808">
      <c r="D808" s="126"/>
    </row>
    <row r="809">
      <c r="D809" s="126"/>
    </row>
    <row r="810">
      <c r="D810" s="126"/>
    </row>
    <row r="811">
      <c r="D811" s="126"/>
    </row>
    <row r="812">
      <c r="D812" s="126"/>
    </row>
    <row r="813">
      <c r="D813" s="126"/>
    </row>
    <row r="814">
      <c r="D814" s="126"/>
    </row>
    <row r="815">
      <c r="D815" s="126"/>
    </row>
    <row r="816">
      <c r="D816" s="126"/>
    </row>
    <row r="817">
      <c r="D817" s="126"/>
    </row>
    <row r="818">
      <c r="D818" s="126"/>
    </row>
    <row r="819">
      <c r="D819" s="126"/>
    </row>
    <row r="820">
      <c r="D820" s="126"/>
    </row>
    <row r="821">
      <c r="D821" s="126"/>
    </row>
    <row r="822">
      <c r="D822" s="126"/>
    </row>
    <row r="823">
      <c r="D823" s="126"/>
    </row>
    <row r="824">
      <c r="D824" s="126"/>
    </row>
    <row r="825">
      <c r="D825" s="126"/>
    </row>
    <row r="826">
      <c r="D826" s="126"/>
    </row>
    <row r="827">
      <c r="D827" s="126"/>
    </row>
    <row r="828">
      <c r="D828" s="126"/>
    </row>
    <row r="829">
      <c r="D829" s="126"/>
    </row>
    <row r="830">
      <c r="D830" s="126"/>
    </row>
    <row r="831">
      <c r="D831" s="126"/>
    </row>
    <row r="832">
      <c r="D832" s="126"/>
    </row>
    <row r="833">
      <c r="D833" s="126"/>
    </row>
    <row r="834">
      <c r="D834" s="126"/>
    </row>
    <row r="835">
      <c r="D835" s="126"/>
    </row>
    <row r="836">
      <c r="D836" s="126"/>
    </row>
    <row r="837">
      <c r="D837" s="126"/>
    </row>
    <row r="838">
      <c r="D838" s="126"/>
    </row>
    <row r="839">
      <c r="D839" s="126"/>
    </row>
    <row r="840">
      <c r="D840" s="126"/>
    </row>
    <row r="841">
      <c r="D841" s="126"/>
    </row>
    <row r="842">
      <c r="D842" s="126"/>
    </row>
    <row r="843">
      <c r="D843" s="126"/>
    </row>
    <row r="844">
      <c r="D844" s="126"/>
    </row>
    <row r="845">
      <c r="D845" s="126"/>
    </row>
    <row r="846">
      <c r="D846" s="126"/>
    </row>
    <row r="847">
      <c r="D847" s="126"/>
    </row>
    <row r="848">
      <c r="D848" s="126"/>
    </row>
    <row r="849">
      <c r="D849" s="126"/>
    </row>
    <row r="850">
      <c r="D850" s="126"/>
    </row>
    <row r="851">
      <c r="D851" s="126"/>
    </row>
    <row r="852">
      <c r="D852" s="126"/>
    </row>
    <row r="853">
      <c r="D853" s="126"/>
    </row>
    <row r="854">
      <c r="D854" s="126"/>
    </row>
    <row r="855">
      <c r="D855" s="126"/>
    </row>
    <row r="856">
      <c r="D856" s="126"/>
    </row>
    <row r="857">
      <c r="D857" s="126"/>
    </row>
    <row r="858">
      <c r="D858" s="126"/>
    </row>
    <row r="859">
      <c r="D859" s="126"/>
    </row>
    <row r="860">
      <c r="D860" s="126"/>
    </row>
    <row r="861">
      <c r="D861" s="126"/>
    </row>
    <row r="862">
      <c r="D862" s="126"/>
    </row>
    <row r="863">
      <c r="D863" s="126"/>
    </row>
    <row r="864">
      <c r="D864" s="126"/>
    </row>
    <row r="865">
      <c r="D865" s="126"/>
    </row>
    <row r="866">
      <c r="D866" s="126"/>
    </row>
    <row r="867">
      <c r="D867" s="126"/>
    </row>
    <row r="868">
      <c r="D868" s="126"/>
    </row>
    <row r="869">
      <c r="D869" s="126"/>
    </row>
    <row r="870">
      <c r="D870" s="126"/>
    </row>
    <row r="871">
      <c r="D871" s="126"/>
    </row>
    <row r="872">
      <c r="D872" s="126"/>
    </row>
    <row r="873">
      <c r="D873" s="126"/>
    </row>
    <row r="874">
      <c r="D874" s="126"/>
    </row>
    <row r="875">
      <c r="D875" s="126"/>
    </row>
    <row r="876">
      <c r="D876" s="126"/>
    </row>
    <row r="877">
      <c r="D877" s="126"/>
    </row>
    <row r="878">
      <c r="D878" s="126"/>
    </row>
    <row r="879">
      <c r="D879" s="126"/>
    </row>
    <row r="880">
      <c r="D880" s="126"/>
    </row>
    <row r="881">
      <c r="D881" s="126"/>
    </row>
    <row r="882">
      <c r="D882" s="126"/>
    </row>
    <row r="883">
      <c r="D883" s="126"/>
    </row>
    <row r="884">
      <c r="D884" s="126"/>
    </row>
    <row r="885">
      <c r="D885" s="126"/>
    </row>
    <row r="886">
      <c r="D886" s="126"/>
    </row>
    <row r="887">
      <c r="D887" s="126"/>
    </row>
    <row r="888">
      <c r="D888" s="126"/>
    </row>
    <row r="889">
      <c r="D889" s="126"/>
    </row>
    <row r="890">
      <c r="D890" s="126"/>
    </row>
    <row r="891">
      <c r="D891" s="126"/>
    </row>
    <row r="892">
      <c r="D892" s="126"/>
    </row>
    <row r="893">
      <c r="D893" s="126"/>
    </row>
    <row r="894">
      <c r="D894" s="126"/>
    </row>
    <row r="895">
      <c r="D895" s="126"/>
    </row>
    <row r="896">
      <c r="D896" s="126"/>
    </row>
    <row r="897">
      <c r="D897" s="126"/>
    </row>
    <row r="898">
      <c r="D898" s="126"/>
    </row>
    <row r="899">
      <c r="D899" s="126"/>
    </row>
    <row r="900">
      <c r="D900" s="126"/>
    </row>
    <row r="901">
      <c r="D901" s="126"/>
    </row>
    <row r="902">
      <c r="D902" s="126"/>
    </row>
    <row r="903">
      <c r="D903" s="126"/>
    </row>
    <row r="904">
      <c r="D904" s="126"/>
    </row>
    <row r="905">
      <c r="D905" s="126"/>
    </row>
    <row r="906">
      <c r="D906" s="126"/>
    </row>
    <row r="907">
      <c r="D907" s="126"/>
    </row>
    <row r="908">
      <c r="D908" s="126"/>
    </row>
    <row r="909">
      <c r="D909" s="126"/>
    </row>
    <row r="910">
      <c r="D910" s="126"/>
    </row>
    <row r="911">
      <c r="D911" s="126"/>
    </row>
    <row r="912">
      <c r="D912" s="126"/>
    </row>
    <row r="913">
      <c r="D913" s="126"/>
    </row>
    <row r="914">
      <c r="D914" s="126"/>
    </row>
    <row r="915">
      <c r="D915" s="126"/>
    </row>
    <row r="916">
      <c r="D916" s="126"/>
    </row>
    <row r="917">
      <c r="D917" s="126"/>
    </row>
    <row r="918">
      <c r="D918" s="126"/>
    </row>
    <row r="919">
      <c r="D919" s="126"/>
    </row>
    <row r="920">
      <c r="D920" s="126"/>
    </row>
    <row r="921">
      <c r="D921" s="126"/>
    </row>
    <row r="922">
      <c r="D922" s="126"/>
    </row>
    <row r="923">
      <c r="D923" s="126"/>
    </row>
    <row r="924">
      <c r="D924" s="126"/>
    </row>
    <row r="925">
      <c r="D925" s="126"/>
    </row>
    <row r="926">
      <c r="D926" s="126"/>
    </row>
    <row r="927">
      <c r="D927" s="126"/>
    </row>
    <row r="928">
      <c r="D928" s="126"/>
    </row>
    <row r="929">
      <c r="D929" s="126"/>
    </row>
    <row r="930">
      <c r="D930" s="126"/>
    </row>
    <row r="931">
      <c r="D931" s="126"/>
    </row>
    <row r="932">
      <c r="D932" s="126"/>
    </row>
    <row r="933">
      <c r="D933" s="126"/>
    </row>
    <row r="934">
      <c r="D934" s="126"/>
    </row>
    <row r="935">
      <c r="D935" s="126"/>
    </row>
    <row r="936">
      <c r="D936" s="126"/>
    </row>
    <row r="937">
      <c r="D937" s="126"/>
    </row>
    <row r="938">
      <c r="D938" s="126"/>
    </row>
    <row r="939">
      <c r="D939" s="126"/>
    </row>
    <row r="940">
      <c r="D940" s="126"/>
    </row>
    <row r="941">
      <c r="D941" s="126"/>
    </row>
    <row r="942">
      <c r="D942" s="126"/>
    </row>
    <row r="943">
      <c r="D943" s="126"/>
    </row>
    <row r="944">
      <c r="D944" s="126"/>
    </row>
    <row r="945">
      <c r="D945" s="126"/>
    </row>
    <row r="946">
      <c r="D946" s="126"/>
    </row>
    <row r="947">
      <c r="D947" s="126"/>
    </row>
    <row r="948">
      <c r="D948" s="126"/>
    </row>
    <row r="949">
      <c r="D949" s="126"/>
    </row>
    <row r="950">
      <c r="D950" s="126"/>
    </row>
    <row r="951">
      <c r="D951" s="126"/>
    </row>
    <row r="952">
      <c r="D952" s="126"/>
    </row>
    <row r="953">
      <c r="D953" s="126"/>
    </row>
    <row r="954">
      <c r="D954" s="126"/>
    </row>
    <row r="955">
      <c r="D955" s="126"/>
    </row>
    <row r="956">
      <c r="D956" s="126"/>
    </row>
    <row r="957">
      <c r="D957" s="126"/>
    </row>
    <row r="958">
      <c r="D958" s="126"/>
    </row>
    <row r="959">
      <c r="D959" s="126"/>
    </row>
    <row r="960">
      <c r="D960" s="126"/>
    </row>
    <row r="961">
      <c r="D961" s="126"/>
    </row>
    <row r="962">
      <c r="D962" s="126"/>
    </row>
    <row r="963">
      <c r="D963" s="126"/>
    </row>
    <row r="964">
      <c r="D964" s="126"/>
    </row>
    <row r="965">
      <c r="D965" s="126"/>
    </row>
    <row r="966">
      <c r="D966" s="126"/>
    </row>
    <row r="967">
      <c r="D967" s="126"/>
    </row>
    <row r="968">
      <c r="D968" s="126"/>
    </row>
    <row r="969">
      <c r="D969" s="126"/>
    </row>
    <row r="970">
      <c r="D970" s="126"/>
    </row>
    <row r="971">
      <c r="D971" s="126"/>
    </row>
    <row r="972">
      <c r="D972" s="126"/>
    </row>
    <row r="973">
      <c r="D973" s="126"/>
    </row>
    <row r="974">
      <c r="D974" s="126"/>
    </row>
    <row r="975">
      <c r="D975" s="126"/>
    </row>
    <row r="976">
      <c r="D976" s="126"/>
    </row>
    <row r="977">
      <c r="D977" s="126"/>
    </row>
    <row r="978">
      <c r="D978" s="126"/>
    </row>
    <row r="979">
      <c r="D979" s="126"/>
    </row>
    <row r="980">
      <c r="D980" s="126"/>
    </row>
    <row r="981">
      <c r="D981" s="126"/>
    </row>
    <row r="982">
      <c r="D982" s="126"/>
    </row>
    <row r="983">
      <c r="D983" s="126"/>
    </row>
    <row r="984">
      <c r="D984" s="126"/>
    </row>
    <row r="985">
      <c r="D985" s="126"/>
    </row>
    <row r="986">
      <c r="D986" s="126"/>
    </row>
    <row r="987">
      <c r="D987" s="126"/>
    </row>
    <row r="988">
      <c r="D988" s="126"/>
    </row>
    <row r="989">
      <c r="D989" s="126"/>
    </row>
    <row r="990">
      <c r="D990" s="126"/>
    </row>
    <row r="991">
      <c r="D991" s="126"/>
    </row>
    <row r="992">
      <c r="D992" s="126"/>
    </row>
    <row r="993">
      <c r="D993" s="126"/>
    </row>
    <row r="994">
      <c r="D994" s="126"/>
    </row>
    <row r="995">
      <c r="D995" s="126"/>
    </row>
    <row r="996">
      <c r="D996" s="126"/>
    </row>
    <row r="997">
      <c r="D997" s="126"/>
    </row>
    <row r="998">
      <c r="D998" s="126"/>
    </row>
    <row r="999">
      <c r="D999" s="126"/>
    </row>
    <row r="1000">
      <c r="D1000" s="126"/>
    </row>
  </sheetData>
  <hyperlinks>
    <hyperlink r:id="rId1" ref="D2"/>
    <hyperlink r:id="rId2" ref="J2"/>
    <hyperlink r:id="rId3" ref="D3"/>
    <hyperlink r:id="rId4" ref="F3"/>
    <hyperlink r:id="rId5" ref="D4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3"/>
    <hyperlink r:id="rId14" ref="D14"/>
    <hyperlink r:id="rId15" ref="D15"/>
    <hyperlink r:id="rId16" ref="D16"/>
    <hyperlink r:id="rId17" ref="F16"/>
    <hyperlink r:id="rId18" ref="D17"/>
    <hyperlink r:id="rId19" ref="E17"/>
    <hyperlink r:id="rId20" ref="D18"/>
    <hyperlink r:id="rId21" ref="F18"/>
    <hyperlink r:id="rId22" ref="D19"/>
    <hyperlink r:id="rId23" ref="D20"/>
    <hyperlink r:id="rId24" ref="D21"/>
    <hyperlink r:id="rId25" ref="D22"/>
    <hyperlink r:id="rId26" ref="D23"/>
    <hyperlink r:id="rId27" ref="D24"/>
    <hyperlink r:id="rId28" ref="F24"/>
    <hyperlink r:id="rId29" ref="D25"/>
    <hyperlink r:id="rId30" ref="F25"/>
    <hyperlink r:id="rId31" ref="C26"/>
    <hyperlink r:id="rId32" ref="D26"/>
  </hyperlinks>
  <drawing r:id="rId3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sheetData>
    <row r="1">
      <c r="A1" s="80"/>
      <c r="B1" s="80" t="s">
        <v>0</v>
      </c>
      <c r="C1" s="80" t="s">
        <v>1</v>
      </c>
      <c r="D1" s="80" t="s">
        <v>2</v>
      </c>
      <c r="E1" s="81" t="s">
        <v>3</v>
      </c>
      <c r="F1" s="80" t="s">
        <v>4</v>
      </c>
      <c r="G1" s="80" t="s">
        <v>25</v>
      </c>
      <c r="H1" s="80" t="s">
        <v>6</v>
      </c>
      <c r="I1" s="80" t="s">
        <v>7</v>
      </c>
      <c r="J1" s="80" t="s">
        <v>8</v>
      </c>
      <c r="K1" s="80" t="s">
        <v>9</v>
      </c>
      <c r="L1" s="82" t="s">
        <v>10</v>
      </c>
      <c r="M1" s="80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82" t="s">
        <v>17</v>
      </c>
      <c r="T1" s="82" t="s">
        <v>18</v>
      </c>
      <c r="U1" s="83" t="s">
        <v>19</v>
      </c>
      <c r="V1" s="83" t="s">
        <v>20</v>
      </c>
      <c r="W1" s="82" t="s">
        <v>21</v>
      </c>
      <c r="X1" s="82" t="s">
        <v>22</v>
      </c>
      <c r="Y1" s="82" t="s">
        <v>23</v>
      </c>
      <c r="Z1" s="82" t="s">
        <v>24</v>
      </c>
      <c r="AA1" s="5"/>
      <c r="AB1" s="5"/>
      <c r="AC1" s="5"/>
      <c r="AD1" s="5"/>
      <c r="AE1" s="5"/>
      <c r="AF1" s="5"/>
      <c r="AG1" s="5"/>
      <c r="AH1" s="5"/>
      <c r="AI1" s="5"/>
      <c r="AJ1" s="5"/>
    </row>
    <row r="2">
      <c r="A2" s="47" t="s">
        <v>3607</v>
      </c>
      <c r="B2" s="197" t="b">
        <f>B1='Peipsiääre vald'!A1</f>
        <v>1</v>
      </c>
      <c r="C2" s="197" t="b">
        <f>C1='Peipsiääre vald'!B1</f>
        <v>1</v>
      </c>
      <c r="D2" s="197" t="b">
        <f>D1='Peipsiääre vald'!C1</f>
        <v>1</v>
      </c>
      <c r="E2" s="197" t="b">
        <f>E1='Peipsiääre vald'!D1</f>
        <v>1</v>
      </c>
      <c r="F2" s="197" t="b">
        <f>F1='Peipsiääre vald'!E1</f>
        <v>1</v>
      </c>
      <c r="G2" s="197" t="b">
        <f>G1='Peipsiääre vald'!F1</f>
        <v>1</v>
      </c>
      <c r="H2" s="197" t="b">
        <f>H1='Peipsiääre vald'!G1</f>
        <v>1</v>
      </c>
      <c r="I2" s="197" t="b">
        <f>I1='Peipsiääre vald'!H1</f>
        <v>1</v>
      </c>
      <c r="J2" s="197" t="b">
        <f>J1='Peipsiääre vald'!I1</f>
        <v>1</v>
      </c>
      <c r="K2" s="197" t="b">
        <f>K1='Peipsiääre vald'!J1</f>
        <v>1</v>
      </c>
      <c r="L2" s="197" t="b">
        <f>L1='Peipsiääre vald'!K1</f>
        <v>1</v>
      </c>
      <c r="M2" s="197" t="b">
        <f>M1='Peipsiääre vald'!L1</f>
        <v>1</v>
      </c>
      <c r="N2" s="197" t="b">
        <f>N1='Peipsiääre vald'!M1</f>
        <v>1</v>
      </c>
      <c r="O2" s="197" t="b">
        <f>O1='Peipsiääre vald'!N1</f>
        <v>1</v>
      </c>
      <c r="P2" s="197" t="b">
        <f>P1='Peipsiääre vald'!O1</f>
        <v>1</v>
      </c>
      <c r="Q2" s="197" t="b">
        <f>Q1='Peipsiääre vald'!P1</f>
        <v>1</v>
      </c>
      <c r="R2" s="197" t="b">
        <f>R1='Peipsiääre vald'!Q1</f>
        <v>1</v>
      </c>
      <c r="S2" s="197" t="b">
        <f>S1='Peipsiääre vald'!R1</f>
        <v>1</v>
      </c>
      <c r="T2" s="197" t="b">
        <f>T1='Peipsiääre vald'!S1</f>
        <v>1</v>
      </c>
      <c r="U2" s="197" t="b">
        <f>U1='Peipsiääre vald'!T1</f>
        <v>1</v>
      </c>
      <c r="V2" s="197" t="b">
        <f>V1='Peipsiääre vald'!U1</f>
        <v>1</v>
      </c>
      <c r="W2" s="197" t="b">
        <f>W1='Peipsiääre vald'!V1</f>
        <v>1</v>
      </c>
      <c r="X2" s="197" t="b">
        <f>X1='Peipsiääre vald'!W1</f>
        <v>1</v>
      </c>
      <c r="Y2" s="197" t="b">
        <f>Y1='Peipsiääre vald'!X1</f>
        <v>1</v>
      </c>
      <c r="Z2" s="197" t="b">
        <f>Z1='Peipsiääre vald'!Y1</f>
        <v>1</v>
      </c>
    </row>
    <row r="3">
      <c r="A3" s="47" t="s">
        <v>3608</v>
      </c>
      <c r="B3" s="197" t="b">
        <f>B1='Luunja vald'!A1</f>
        <v>1</v>
      </c>
      <c r="C3" s="197" t="b">
        <f>C1='Luunja vald'!B1</f>
        <v>1</v>
      </c>
      <c r="D3" s="197" t="b">
        <f>D1='Luunja vald'!C1</f>
        <v>1</v>
      </c>
      <c r="E3" s="197" t="b">
        <f>E1='Luunja vald'!D1</f>
        <v>1</v>
      </c>
      <c r="F3" s="197" t="b">
        <f>F1='Luunja vald'!E1</f>
        <v>1</v>
      </c>
      <c r="G3" s="197" t="b">
        <f>G1='Luunja vald'!F1</f>
        <v>1</v>
      </c>
      <c r="H3" s="197" t="b">
        <f>H1='Luunja vald'!G1</f>
        <v>1</v>
      </c>
      <c r="I3" s="197" t="b">
        <f>I1='Luunja vald'!H1</f>
        <v>1</v>
      </c>
      <c r="J3" s="197" t="b">
        <f>J1='Luunja vald'!I1</f>
        <v>1</v>
      </c>
      <c r="K3" s="197" t="b">
        <f>K1='Luunja vald'!J1</f>
        <v>1</v>
      </c>
      <c r="L3" s="197" t="b">
        <f>L1='Luunja vald'!K1</f>
        <v>1</v>
      </c>
      <c r="M3" s="197" t="b">
        <f>M1='Luunja vald'!L1</f>
        <v>1</v>
      </c>
      <c r="N3" s="197" t="b">
        <f>N1='Luunja vald'!M1</f>
        <v>1</v>
      </c>
      <c r="O3" s="197" t="b">
        <f>O1='Luunja vald'!N1</f>
        <v>1</v>
      </c>
      <c r="P3" s="197" t="b">
        <f>P1='Luunja vald'!O1</f>
        <v>1</v>
      </c>
      <c r="Q3" s="197" t="b">
        <f>Q1='Luunja vald'!P1</f>
        <v>1</v>
      </c>
      <c r="R3" s="197" t="b">
        <f>R1='Luunja vald'!Q1</f>
        <v>1</v>
      </c>
      <c r="S3" s="197" t="b">
        <f>S1='Luunja vald'!R1</f>
        <v>1</v>
      </c>
      <c r="T3" s="197" t="b">
        <f>T1='Luunja vald'!S1</f>
        <v>1</v>
      </c>
      <c r="U3" s="197" t="b">
        <f>U1='Luunja vald'!T1</f>
        <v>1</v>
      </c>
      <c r="V3" s="197" t="b">
        <f>V1='Luunja vald'!U1</f>
        <v>1</v>
      </c>
      <c r="W3" s="197" t="b">
        <f>W1='Luunja vald'!V1</f>
        <v>1</v>
      </c>
      <c r="X3" s="197" t="b">
        <f>X1='Luunja vald'!W1</f>
        <v>1</v>
      </c>
      <c r="Y3" s="197" t="b">
        <f>Y1='Luunja vald'!X1</f>
        <v>1</v>
      </c>
      <c r="Z3" s="197" t="b">
        <f>Z1='Luunja vald'!Y1</f>
        <v>1</v>
      </c>
    </row>
    <row r="4">
      <c r="A4" s="47" t="s">
        <v>3609</v>
      </c>
      <c r="B4" s="197" t="b">
        <f>'Kastre vald'!A1=B1</f>
        <v>1</v>
      </c>
      <c r="C4" s="197" t="b">
        <f>'Kastre vald'!B1=C1</f>
        <v>1</v>
      </c>
      <c r="D4" s="197" t="b">
        <f>'Kastre vald'!C1=D1</f>
        <v>1</v>
      </c>
      <c r="E4" s="197" t="b">
        <f>'Kastre vald'!D1=E1</f>
        <v>1</v>
      </c>
      <c r="F4" s="197" t="b">
        <f>'Kastre vald'!E1=F1</f>
        <v>1</v>
      </c>
      <c r="G4" s="197" t="b">
        <f>'Kastre vald'!F1=G1</f>
        <v>1</v>
      </c>
      <c r="H4" s="197" t="b">
        <f>'Kastre vald'!G1=H1</f>
        <v>1</v>
      </c>
      <c r="I4" s="197" t="b">
        <f>'Kastre vald'!H1=I1</f>
        <v>1</v>
      </c>
      <c r="J4" s="197" t="b">
        <f>'Kastre vald'!I1=J1</f>
        <v>1</v>
      </c>
      <c r="K4" s="197" t="b">
        <f>'Kastre vald'!J1=K1</f>
        <v>1</v>
      </c>
      <c r="L4" s="197" t="b">
        <f>'Kastre vald'!K1=L1</f>
        <v>1</v>
      </c>
      <c r="M4" s="197" t="b">
        <f>'Kastre vald'!L1=M1</f>
        <v>1</v>
      </c>
      <c r="N4" s="197" t="b">
        <f>'Kastre vald'!M1=N1</f>
        <v>1</v>
      </c>
      <c r="O4" s="197" t="b">
        <f>'Kastre vald'!N1=O1</f>
        <v>1</v>
      </c>
      <c r="P4" s="197" t="b">
        <f>'Kastre vald'!O1=P1</f>
        <v>1</v>
      </c>
      <c r="Q4" s="197" t="b">
        <f>'Kastre vald'!P1=Q1</f>
        <v>1</v>
      </c>
      <c r="R4" s="197" t="b">
        <f>'Kastre vald'!Q1=R1</f>
        <v>1</v>
      </c>
      <c r="S4" s="197" t="b">
        <f>'Kastre vald'!R1=S1</f>
        <v>1</v>
      </c>
      <c r="T4" s="197" t="b">
        <f>'Kastre vald'!S1=T1</f>
        <v>1</v>
      </c>
      <c r="U4" s="197" t="b">
        <f>'Kastre vald'!T1=U1</f>
        <v>1</v>
      </c>
      <c r="V4" s="197" t="b">
        <f>'Kastre vald'!U1=V1</f>
        <v>1</v>
      </c>
      <c r="W4" s="197" t="b">
        <f>'Kastre vald'!V1=W1</f>
        <v>1</v>
      </c>
      <c r="X4" s="197" t="b">
        <f>'Kastre vald'!W1=X1</f>
        <v>1</v>
      </c>
      <c r="Y4" s="197" t="b">
        <f>'Kastre vald'!X1=Y1</f>
        <v>1</v>
      </c>
      <c r="Z4" s="197" t="b">
        <f>'Kastre vald'!Y1=Z1</f>
        <v>1</v>
      </c>
    </row>
    <row r="5">
      <c r="A5" s="47" t="s">
        <v>3610</v>
      </c>
      <c r="B5" s="197" t="b">
        <f>'Kambja vald'!A1=B1</f>
        <v>1</v>
      </c>
      <c r="C5" s="197" t="b">
        <f>'Kambja vald'!B1=C1</f>
        <v>1</v>
      </c>
      <c r="D5" s="197" t="b">
        <f>'Kambja vald'!C1=D1</f>
        <v>1</v>
      </c>
      <c r="E5" s="197" t="b">
        <f>'Kambja vald'!D1=E1</f>
        <v>1</v>
      </c>
      <c r="F5" s="197" t="b">
        <f>'Kambja vald'!E1=F1</f>
        <v>1</v>
      </c>
      <c r="G5" s="197" t="b">
        <f>'Kambja vald'!F1=G1</f>
        <v>1</v>
      </c>
      <c r="H5" s="197" t="b">
        <f>'Kambja vald'!G1=H1</f>
        <v>1</v>
      </c>
      <c r="I5" s="197" t="b">
        <f>'Kambja vald'!H1=I1</f>
        <v>1</v>
      </c>
      <c r="J5" s="197" t="b">
        <f>'Kambja vald'!I1=J1</f>
        <v>1</v>
      </c>
      <c r="K5" s="197" t="b">
        <f>'Kambja vald'!J1=K1</f>
        <v>1</v>
      </c>
      <c r="L5" s="197" t="b">
        <f>'Kambja vald'!K1=L1</f>
        <v>1</v>
      </c>
      <c r="M5" s="197" t="b">
        <f>'Kambja vald'!L1=M1</f>
        <v>1</v>
      </c>
      <c r="N5" s="197" t="b">
        <f>'Kambja vald'!M1=N1</f>
        <v>1</v>
      </c>
      <c r="O5" s="197" t="b">
        <f>'Kambja vald'!N1=O1</f>
        <v>1</v>
      </c>
      <c r="P5" s="197" t="b">
        <f>'Kambja vald'!O1=P1</f>
        <v>1</v>
      </c>
      <c r="Q5" s="197" t="b">
        <f>'Kambja vald'!P1=Q1</f>
        <v>1</v>
      </c>
      <c r="R5" s="197" t="b">
        <f>'Kambja vald'!Q1=R1</f>
        <v>1</v>
      </c>
      <c r="S5" s="197" t="b">
        <f>'Kambja vald'!R1=S1</f>
        <v>1</v>
      </c>
      <c r="T5" s="197" t="b">
        <f>'Kambja vald'!S1=T1</f>
        <v>1</v>
      </c>
      <c r="U5" s="197" t="b">
        <f>'Kambja vald'!T1=U1</f>
        <v>1</v>
      </c>
      <c r="V5" s="197" t="b">
        <f>'Kambja vald'!U1=V1</f>
        <v>1</v>
      </c>
      <c r="W5" s="197" t="b">
        <f>'Kambja vald'!V1=W1</f>
        <v>1</v>
      </c>
      <c r="X5" s="197" t="b">
        <f>'Kambja vald'!W1=X1</f>
        <v>1</v>
      </c>
      <c r="Y5" s="197" t="b">
        <f>'Kambja vald'!X1=Y1</f>
        <v>1</v>
      </c>
      <c r="Z5" s="197" t="b">
        <f>'Kambja vald'!Y1=Z1</f>
        <v>1</v>
      </c>
    </row>
    <row r="6">
      <c r="A6" s="47" t="s">
        <v>511</v>
      </c>
      <c r="B6" s="197" t="b">
        <f>B1='Tartu linn'!A1</f>
        <v>1</v>
      </c>
      <c r="C6" s="197" t="b">
        <f>C1='Tartu linn'!B1</f>
        <v>1</v>
      </c>
      <c r="D6" s="197" t="b">
        <f>D1='Tartu linn'!C1</f>
        <v>1</v>
      </c>
      <c r="E6" s="197" t="b">
        <f>E1='Tartu linn'!D1</f>
        <v>1</v>
      </c>
      <c r="F6" s="197" t="b">
        <f>F1='Tartu linn'!E1</f>
        <v>1</v>
      </c>
      <c r="G6" s="197" t="b">
        <f>G1='Tartu linn'!F1</f>
        <v>1</v>
      </c>
      <c r="H6" s="197" t="b">
        <f>H1='Tartu linn'!G1</f>
        <v>1</v>
      </c>
      <c r="I6" s="197" t="b">
        <f>I1='Tartu linn'!H1</f>
        <v>1</v>
      </c>
      <c r="J6" s="197" t="b">
        <f>J1='Tartu linn'!I1</f>
        <v>1</v>
      </c>
      <c r="K6" s="197" t="b">
        <f>K1='Tartu linn'!J1</f>
        <v>1</v>
      </c>
      <c r="L6" s="197" t="b">
        <f>L1='Tartu linn'!K1</f>
        <v>1</v>
      </c>
      <c r="M6" s="197" t="b">
        <f>M1='Tartu linn'!L1</f>
        <v>1</v>
      </c>
      <c r="N6" s="197" t="b">
        <f>N1='Tartu linn'!M1</f>
        <v>1</v>
      </c>
      <c r="O6" s="197" t="b">
        <f>O1='Tartu linn'!N1</f>
        <v>1</v>
      </c>
      <c r="P6" s="197" t="b">
        <f>P1='Tartu linn'!O1</f>
        <v>1</v>
      </c>
      <c r="Q6" s="197" t="b">
        <f>Q1='Tartu linn'!P1</f>
        <v>1</v>
      </c>
      <c r="R6" s="197" t="b">
        <f>R1='Tartu linn'!Q1</f>
        <v>1</v>
      </c>
      <c r="S6" s="197" t="b">
        <f>S1='Tartu linn'!R1</f>
        <v>1</v>
      </c>
      <c r="T6" s="197" t="b">
        <f>T1='Tartu linn'!S1</f>
        <v>1</v>
      </c>
      <c r="U6" s="197" t="b">
        <f>U1='Tartu linn'!T1</f>
        <v>1</v>
      </c>
      <c r="V6" s="197" t="b">
        <f>V1='Tartu linn'!U1</f>
        <v>1</v>
      </c>
      <c r="W6" s="197" t="b">
        <f>W1='Tartu linn'!V1</f>
        <v>1</v>
      </c>
      <c r="X6" s="197" t="b">
        <f>X1='Tartu linn'!W1</f>
        <v>1</v>
      </c>
      <c r="Y6" s="197" t="b">
        <f>Y1='Tartu linn'!X1</f>
        <v>1</v>
      </c>
      <c r="Z6" s="197" t="b">
        <f>Z1='Tartu linn'!Y1</f>
        <v>1</v>
      </c>
    </row>
    <row r="7">
      <c r="A7" s="47" t="s">
        <v>3611</v>
      </c>
      <c r="B7" s="197" t="b">
        <f>B1='Tartu vald'!A1</f>
        <v>1</v>
      </c>
      <c r="C7" s="197" t="b">
        <f>C1='Tartu vald'!B1</f>
        <v>1</v>
      </c>
      <c r="D7" s="197" t="b">
        <f>D1='Tartu vald'!C1</f>
        <v>1</v>
      </c>
      <c r="E7" s="197" t="b">
        <f>E1='Tartu vald'!D1</f>
        <v>1</v>
      </c>
      <c r="F7" s="197" t="b">
        <f>F1='Tartu vald'!E1</f>
        <v>1</v>
      </c>
      <c r="G7" s="197" t="b">
        <f>G1='Tartu vald'!F1</f>
        <v>1</v>
      </c>
      <c r="H7" s="197" t="b">
        <f>H1='Tartu vald'!G1</f>
        <v>1</v>
      </c>
      <c r="I7" s="197" t="b">
        <f>I1='Tartu vald'!H1</f>
        <v>1</v>
      </c>
      <c r="J7" s="197" t="b">
        <f>J1='Tartu vald'!I1</f>
        <v>1</v>
      </c>
      <c r="K7" s="197" t="b">
        <f>K1='Tartu vald'!J1</f>
        <v>1</v>
      </c>
      <c r="L7" s="197" t="b">
        <f>L1='Tartu vald'!K1</f>
        <v>1</v>
      </c>
      <c r="M7" s="197" t="b">
        <f>M1='Tartu vald'!L1</f>
        <v>1</v>
      </c>
      <c r="N7" s="197" t="b">
        <f>N1='Tartu vald'!M1</f>
        <v>1</v>
      </c>
      <c r="O7" s="197" t="b">
        <f>O1='Tartu vald'!N1</f>
        <v>1</v>
      </c>
      <c r="P7" s="197" t="b">
        <f>P1='Tartu vald'!O1</f>
        <v>1</v>
      </c>
      <c r="Q7" s="197" t="b">
        <f>Q1='Tartu vald'!P1</f>
        <v>1</v>
      </c>
      <c r="R7" s="197" t="b">
        <f>R1='Tartu vald'!Q1</f>
        <v>1</v>
      </c>
      <c r="S7" s="197" t="b">
        <f>S1='Tartu vald'!R1</f>
        <v>1</v>
      </c>
      <c r="T7" s="197" t="b">
        <f>T1='Tartu vald'!S1</f>
        <v>1</v>
      </c>
      <c r="U7" s="197" t="b">
        <f>U1='Tartu vald'!T1</f>
        <v>1</v>
      </c>
      <c r="V7" s="197" t="b">
        <f>V1='Tartu vald'!U1</f>
        <v>1</v>
      </c>
      <c r="W7" s="197" t="b">
        <f>W1='Tartu vald'!V1</f>
        <v>1</v>
      </c>
      <c r="X7" s="197" t="b">
        <f>X1='Tartu vald'!W1</f>
        <v>1</v>
      </c>
      <c r="Y7" s="197" t="b">
        <f>Y1='Tartu vald'!X1</f>
        <v>1</v>
      </c>
      <c r="Z7" s="197" t="b">
        <f>Z1='Tartu vald'!Y1</f>
        <v>1</v>
      </c>
    </row>
    <row r="8">
      <c r="A8" s="47" t="s">
        <v>1152</v>
      </c>
      <c r="B8" s="197" t="b">
        <f>B1='Nõo vald'!A1</f>
        <v>1</v>
      </c>
      <c r="C8" s="197" t="b">
        <f>C1='Nõo vald'!B1</f>
        <v>1</v>
      </c>
      <c r="D8" s="197" t="b">
        <f>D1='Nõo vald'!C1</f>
        <v>1</v>
      </c>
      <c r="E8" s="197" t="b">
        <f>E1='Nõo vald'!D1</f>
        <v>1</v>
      </c>
      <c r="F8" s="197" t="b">
        <f>F1='Nõo vald'!E1</f>
        <v>1</v>
      </c>
      <c r="G8" s="197" t="b">
        <f>G1='Nõo vald'!F1</f>
        <v>1</v>
      </c>
      <c r="H8" s="197" t="b">
        <f>H1='Nõo vald'!G1</f>
        <v>1</v>
      </c>
      <c r="I8" s="197" t="b">
        <f>I1='Nõo vald'!H1</f>
        <v>1</v>
      </c>
      <c r="J8" s="197" t="b">
        <f>J1='Nõo vald'!I1</f>
        <v>1</v>
      </c>
      <c r="K8" s="197" t="b">
        <f>K1='Nõo vald'!J1</f>
        <v>1</v>
      </c>
      <c r="L8" s="197" t="b">
        <f>L1='Nõo vald'!K1</f>
        <v>1</v>
      </c>
      <c r="M8" s="197" t="b">
        <f>M1='Nõo vald'!L1</f>
        <v>1</v>
      </c>
      <c r="N8" s="197" t="b">
        <f>N1='Nõo vald'!M1</f>
        <v>1</v>
      </c>
      <c r="O8" s="197" t="b">
        <f>O1='Nõo vald'!N1</f>
        <v>1</v>
      </c>
      <c r="P8" s="197" t="b">
        <f>P1='Nõo vald'!O1</f>
        <v>1</v>
      </c>
      <c r="Q8" s="197" t="b">
        <f>Q1='Nõo vald'!P1</f>
        <v>1</v>
      </c>
      <c r="R8" s="197" t="b">
        <f>R1='Nõo vald'!Q1</f>
        <v>1</v>
      </c>
      <c r="S8" s="197" t="b">
        <f>S1='Nõo vald'!R1</f>
        <v>1</v>
      </c>
      <c r="T8" s="197" t="b">
        <f>T1='Nõo vald'!S1</f>
        <v>1</v>
      </c>
      <c r="U8" s="197" t="b">
        <f>U1='Nõo vald'!T1</f>
        <v>1</v>
      </c>
      <c r="V8" s="197" t="b">
        <f>V1='Nõo vald'!U1</f>
        <v>1</v>
      </c>
      <c r="W8" s="197" t="b">
        <f>W1='Nõo vald'!V1</f>
        <v>1</v>
      </c>
      <c r="X8" s="197" t="b">
        <f>X1='Nõo vald'!W1</f>
        <v>1</v>
      </c>
      <c r="Y8" s="197" t="b">
        <f>Y1='Nõo vald'!X1</f>
        <v>1</v>
      </c>
      <c r="Z8" s="197" t="b">
        <f>Z1='Nõo vald'!Y1</f>
        <v>1</v>
      </c>
    </row>
    <row r="9">
      <c r="A9" s="47" t="s">
        <v>1269</v>
      </c>
      <c r="B9" s="197" t="b">
        <f>B1='Elva vald'!A1</f>
        <v>1</v>
      </c>
      <c r="C9" s="197" t="b">
        <f>C1='Elva vald'!B1</f>
        <v>1</v>
      </c>
      <c r="D9" s="197" t="b">
        <f>D1='Elva vald'!C1</f>
        <v>1</v>
      </c>
      <c r="E9" s="197" t="b">
        <f>E1='Elva vald'!D1</f>
        <v>1</v>
      </c>
      <c r="F9" s="197" t="b">
        <f>F1='Elva vald'!E1</f>
        <v>1</v>
      </c>
      <c r="G9" s="197" t="b">
        <f>G1='Elva vald'!F1</f>
        <v>1</v>
      </c>
      <c r="H9" s="197" t="b">
        <f>H1='Elva vald'!G1</f>
        <v>1</v>
      </c>
      <c r="I9" s="197" t="b">
        <f>I1='Elva vald'!H1</f>
        <v>1</v>
      </c>
      <c r="J9" s="197" t="b">
        <f>J1='Elva vald'!I1</f>
        <v>1</v>
      </c>
      <c r="K9" s="197" t="b">
        <f>K1='Elva vald'!J1</f>
        <v>1</v>
      </c>
      <c r="L9" s="197" t="b">
        <f>L1='Elva vald'!K1</f>
        <v>1</v>
      </c>
      <c r="M9" s="197" t="b">
        <f>M1='Elva vald'!L1</f>
        <v>1</v>
      </c>
      <c r="N9" s="197" t="b">
        <f>N1='Elva vald'!M1</f>
        <v>1</v>
      </c>
      <c r="O9" s="197" t="b">
        <f>O1='Elva vald'!N1</f>
        <v>1</v>
      </c>
      <c r="P9" s="197" t="b">
        <f>P1='Elva vald'!O1</f>
        <v>1</v>
      </c>
      <c r="Q9" s="197" t="b">
        <f>Q1='Elva vald'!P1</f>
        <v>1</v>
      </c>
      <c r="R9" s="197" t="b">
        <f>R1='Elva vald'!Q1</f>
        <v>1</v>
      </c>
      <c r="S9" s="197" t="b">
        <f>S1='Elva vald'!R1</f>
        <v>1</v>
      </c>
      <c r="T9" s="197" t="b">
        <f>T1='Elva vald'!S1</f>
        <v>1</v>
      </c>
      <c r="U9" s="197" t="b">
        <f>U1='Elva vald'!T1</f>
        <v>1</v>
      </c>
      <c r="V9" s="197" t="b">
        <f>V1='Elva vald'!U1</f>
        <v>1</v>
      </c>
      <c r="W9" s="197" t="b">
        <f>W1='Elva vald'!V1</f>
        <v>1</v>
      </c>
      <c r="X9" s="197" t="b">
        <f>X1='Elva vald'!W1</f>
        <v>1</v>
      </c>
      <c r="Y9" s="197" t="b">
        <f>Y1='Elva vald'!X1</f>
        <v>1</v>
      </c>
      <c r="Z9" s="197" t="b">
        <f>Z1='Elva vald'!Y1</f>
        <v>1</v>
      </c>
    </row>
    <row r="10">
      <c r="A10" s="47" t="s">
        <v>1565</v>
      </c>
      <c r="B10" s="197" t="b">
        <f>B1='Räpina vald'!A1</f>
        <v>1</v>
      </c>
      <c r="C10" s="197" t="b">
        <f>C1='Räpina vald'!B1</f>
        <v>1</v>
      </c>
      <c r="D10" s="197" t="b">
        <f>D1='Räpina vald'!C1</f>
        <v>1</v>
      </c>
      <c r="E10" s="197" t="b">
        <f>E1='Räpina vald'!D1</f>
        <v>1</v>
      </c>
      <c r="F10" s="197" t="b">
        <f>F1='Räpina vald'!E1</f>
        <v>1</v>
      </c>
      <c r="G10" s="197" t="b">
        <f>G1='Räpina vald'!F1</f>
        <v>1</v>
      </c>
      <c r="H10" s="197" t="b">
        <f>H1='Räpina vald'!G1</f>
        <v>1</v>
      </c>
      <c r="I10" s="197" t="b">
        <f>I1='Räpina vald'!H1</f>
        <v>1</v>
      </c>
      <c r="J10" s="197" t="b">
        <f>J1='Räpina vald'!I1</f>
        <v>1</v>
      </c>
      <c r="K10" s="197" t="b">
        <f>K1='Räpina vald'!J1</f>
        <v>1</v>
      </c>
      <c r="L10" s="197" t="b">
        <f>L1='Räpina vald'!K1</f>
        <v>1</v>
      </c>
      <c r="M10" s="197" t="b">
        <f>M1='Räpina vald'!L1</f>
        <v>1</v>
      </c>
      <c r="N10" s="197" t="b">
        <f>N1='Räpina vald'!M1</f>
        <v>1</v>
      </c>
      <c r="O10" s="197" t="b">
        <f>O1='Räpina vald'!N1</f>
        <v>1</v>
      </c>
      <c r="P10" s="197" t="b">
        <f>P1='Räpina vald'!O1</f>
        <v>1</v>
      </c>
      <c r="Q10" s="197" t="b">
        <f>Q1='Räpina vald'!P1</f>
        <v>1</v>
      </c>
      <c r="R10" s="197" t="b">
        <f>R1='Räpina vald'!Q1</f>
        <v>1</v>
      </c>
      <c r="S10" s="197" t="b">
        <f>S1='Räpina vald'!R1</f>
        <v>1</v>
      </c>
      <c r="T10" s="197" t="b">
        <f>T1='Räpina vald'!S1</f>
        <v>1</v>
      </c>
      <c r="U10" s="197" t="b">
        <f>U1='Räpina vald'!T1</f>
        <v>1</v>
      </c>
      <c r="V10" s="197" t="b">
        <f>V1='Räpina vald'!U1</f>
        <v>1</v>
      </c>
      <c r="W10" s="197" t="b">
        <f>W1='Räpina vald'!V1</f>
        <v>1</v>
      </c>
      <c r="X10" s="197" t="b">
        <f>X1='Räpina vald'!W1</f>
        <v>1</v>
      </c>
      <c r="Y10" s="197" t="b">
        <f>Y1='Räpina vald'!X1</f>
        <v>1</v>
      </c>
      <c r="Z10" s="197" t="b">
        <f>Z1='Räpina vald'!Y1</f>
        <v>1</v>
      </c>
    </row>
    <row r="11">
      <c r="A11" s="47" t="s">
        <v>1739</v>
      </c>
      <c r="B11" s="197" t="b">
        <f>B1='Põlva vald'!A1</f>
        <v>1</v>
      </c>
      <c r="C11" s="197" t="b">
        <f>C1='Põlva vald'!B1</f>
        <v>1</v>
      </c>
      <c r="D11" s="197" t="b">
        <f>D1='Põlva vald'!C1</f>
        <v>1</v>
      </c>
      <c r="E11" s="197" t="b">
        <f>E1='Põlva vald'!D1</f>
        <v>1</v>
      </c>
      <c r="F11" s="197" t="b">
        <f>F1='Põlva vald'!E1</f>
        <v>1</v>
      </c>
      <c r="G11" s="197" t="b">
        <f>G1='Põlva vald'!F1</f>
        <v>1</v>
      </c>
      <c r="H11" s="197" t="b">
        <f>H1='Põlva vald'!G1</f>
        <v>1</v>
      </c>
      <c r="I11" s="197" t="b">
        <f>I1='Põlva vald'!H1</f>
        <v>1</v>
      </c>
      <c r="J11" s="197" t="b">
        <f>J1='Põlva vald'!I1</f>
        <v>1</v>
      </c>
      <c r="K11" s="197" t="b">
        <f>K1='Põlva vald'!J1</f>
        <v>1</v>
      </c>
      <c r="L11" s="197" t="b">
        <f>L1='Põlva vald'!K1</f>
        <v>1</v>
      </c>
      <c r="M11" s="197" t="b">
        <f>M1='Põlva vald'!L1</f>
        <v>1</v>
      </c>
      <c r="N11" s="197" t="b">
        <f>N1='Põlva vald'!M1</f>
        <v>1</v>
      </c>
      <c r="O11" s="197" t="b">
        <f>O1='Põlva vald'!N1</f>
        <v>1</v>
      </c>
      <c r="P11" s="197" t="b">
        <f>P1='Põlva vald'!O1</f>
        <v>1</v>
      </c>
      <c r="Q11" s="197" t="b">
        <f>Q1='Põlva vald'!P1</f>
        <v>1</v>
      </c>
      <c r="R11" s="197" t="b">
        <f>R1='Põlva vald'!Q1</f>
        <v>1</v>
      </c>
      <c r="S11" s="197" t="b">
        <f>S1='Põlva vald'!R1</f>
        <v>1</v>
      </c>
      <c r="T11" s="197" t="b">
        <f>T1='Põlva vald'!S1</f>
        <v>1</v>
      </c>
      <c r="U11" s="197" t="b">
        <f>U1='Põlva vald'!T1</f>
        <v>1</v>
      </c>
      <c r="V11" s="197" t="b">
        <f>V1='Põlva vald'!U1</f>
        <v>1</v>
      </c>
      <c r="W11" s="197" t="b">
        <f>W1='Põlva vald'!V1</f>
        <v>1</v>
      </c>
      <c r="X11" s="197" t="b">
        <f>X1='Põlva vald'!W1</f>
        <v>1</v>
      </c>
      <c r="Y11" s="197" t="b">
        <f>Y1='Põlva vald'!X1</f>
        <v>1</v>
      </c>
      <c r="Z11" s="197" t="b">
        <f>Z1='Põlva vald'!Y1</f>
        <v>1</v>
      </c>
    </row>
    <row r="12">
      <c r="A12" s="47" t="s">
        <v>3612</v>
      </c>
      <c r="B12" s="197" t="b">
        <f>B1='Kanepi vald'!A1</f>
        <v>1</v>
      </c>
      <c r="C12" s="197" t="b">
        <f>C1='Kanepi vald'!B1</f>
        <v>1</v>
      </c>
      <c r="D12" s="197" t="b">
        <f>D1='Kanepi vald'!C1</f>
        <v>1</v>
      </c>
      <c r="E12" s="197" t="b">
        <f>E1='Kanepi vald'!D1</f>
        <v>1</v>
      </c>
      <c r="F12" s="197" t="b">
        <f>F1='Kanepi vald'!E1</f>
        <v>1</v>
      </c>
      <c r="G12" s="197" t="b">
        <f>G1='Kanepi vald'!F1</f>
        <v>1</v>
      </c>
      <c r="H12" s="197" t="b">
        <f>H1='Kanepi vald'!G1</f>
        <v>1</v>
      </c>
      <c r="I12" s="197" t="b">
        <f>I1='Kanepi vald'!H1</f>
        <v>1</v>
      </c>
      <c r="J12" s="197" t="b">
        <f>J1='Kanepi vald'!I1</f>
        <v>1</v>
      </c>
      <c r="K12" s="197" t="b">
        <f>K1='Kanepi vald'!J1</f>
        <v>1</v>
      </c>
      <c r="L12" s="197" t="b">
        <f>L1='Kanepi vald'!K1</f>
        <v>1</v>
      </c>
      <c r="M12" s="197" t="b">
        <f>M1='Kanepi vald'!L1</f>
        <v>1</v>
      </c>
      <c r="N12" s="197" t="b">
        <f>N1='Kanepi vald'!M1</f>
        <v>1</v>
      </c>
      <c r="O12" s="197" t="b">
        <f>O1='Kanepi vald'!N1</f>
        <v>1</v>
      </c>
      <c r="P12" s="197" t="b">
        <f>P1='Kanepi vald'!O1</f>
        <v>1</v>
      </c>
      <c r="Q12" s="197" t="b">
        <f>Q1='Kanepi vald'!P1</f>
        <v>1</v>
      </c>
      <c r="R12" s="197" t="b">
        <f>R1='Kanepi vald'!Q1</f>
        <v>1</v>
      </c>
      <c r="S12" s="197" t="b">
        <f>S1='Kanepi vald'!R1</f>
        <v>1</v>
      </c>
      <c r="T12" s="197" t="b">
        <f>T1='Kanepi vald'!S1</f>
        <v>1</v>
      </c>
      <c r="U12" s="197" t="b">
        <f>U1='Kanepi vald'!T1</f>
        <v>1</v>
      </c>
      <c r="V12" s="197" t="b">
        <f>V1='Kanepi vald'!U1</f>
        <v>1</v>
      </c>
      <c r="W12" s="197" t="b">
        <f>W1='Kanepi vald'!V1</f>
        <v>1</v>
      </c>
      <c r="X12" s="197" t="b">
        <f>X1='Kanepi vald'!W1</f>
        <v>1</v>
      </c>
      <c r="Y12" s="197" t="b">
        <f>Y1='Kanepi vald'!X1</f>
        <v>1</v>
      </c>
      <c r="Z12" s="197" t="b">
        <f>Z1='Kanepi vald'!Y1</f>
        <v>1</v>
      </c>
    </row>
    <row r="13">
      <c r="A13" s="47" t="s">
        <v>3613</v>
      </c>
      <c r="B13" s="197" t="b">
        <f>B1='Antsla vald'!A1</f>
        <v>1</v>
      </c>
      <c r="C13" s="197" t="b">
        <f>C1='Antsla vald'!B1</f>
        <v>1</v>
      </c>
      <c r="D13" s="197" t="b">
        <f>D1='Antsla vald'!C1</f>
        <v>1</v>
      </c>
      <c r="E13" s="197" t="b">
        <f>E1='Antsla vald'!D1</f>
        <v>1</v>
      </c>
      <c r="F13" s="197" t="b">
        <f>F1='Antsla vald'!E1</f>
        <v>1</v>
      </c>
      <c r="G13" s="197" t="b">
        <f>G1='Antsla vald'!F1</f>
        <v>1</v>
      </c>
      <c r="H13" s="197" t="b">
        <f>H1='Antsla vald'!G1</f>
        <v>1</v>
      </c>
      <c r="I13" s="197" t="b">
        <f>I1='Antsla vald'!H1</f>
        <v>1</v>
      </c>
      <c r="J13" s="197" t="b">
        <f>J1='Antsla vald'!I1</f>
        <v>1</v>
      </c>
      <c r="K13" s="197" t="b">
        <f>K1='Antsla vald'!J1</f>
        <v>1</v>
      </c>
      <c r="L13" s="197" t="b">
        <f>L1='Antsla vald'!K1</f>
        <v>1</v>
      </c>
      <c r="M13" s="197" t="b">
        <f>M1='Antsla vald'!L1</f>
        <v>1</v>
      </c>
      <c r="N13" s="197" t="b">
        <f>N1='Antsla vald'!M1</f>
        <v>1</v>
      </c>
      <c r="O13" s="197" t="b">
        <f>O1='Antsla vald'!N1</f>
        <v>1</v>
      </c>
      <c r="P13" s="197" t="b">
        <f>P1='Antsla vald'!O1</f>
        <v>1</v>
      </c>
      <c r="Q13" s="197" t="b">
        <f>Q1='Antsla vald'!P1</f>
        <v>1</v>
      </c>
      <c r="R13" s="197" t="b">
        <f>R1='Antsla vald'!Q1</f>
        <v>1</v>
      </c>
      <c r="S13" s="197" t="b">
        <f>S1='Antsla vald'!R1</f>
        <v>1</v>
      </c>
      <c r="T13" s="197" t="b">
        <f>T1='Antsla vald'!S1</f>
        <v>1</v>
      </c>
      <c r="U13" s="197" t="b">
        <f>U1='Antsla vald'!T1</f>
        <v>1</v>
      </c>
      <c r="V13" s="197" t="b">
        <f>V1='Antsla vald'!U1</f>
        <v>1</v>
      </c>
      <c r="W13" s="197" t="b">
        <f>W1='Antsla vald'!V1</f>
        <v>1</v>
      </c>
      <c r="X13" s="197" t="b">
        <f>X1='Antsla vald'!W1</f>
        <v>1</v>
      </c>
      <c r="Y13" s="197" t="b">
        <f>Y1='Antsla vald'!X1</f>
        <v>1</v>
      </c>
      <c r="Z13" s="197" t="b">
        <f>Z1='Antsla vald'!Y1</f>
        <v>1</v>
      </c>
    </row>
    <row r="14">
      <c r="A14" s="47" t="s">
        <v>3614</v>
      </c>
      <c r="B14" s="197" t="b">
        <f>B1='Setomaa vald'!A1</f>
        <v>1</v>
      </c>
      <c r="C14" s="197" t="b">
        <f>C1='Setomaa vald'!B1</f>
        <v>1</v>
      </c>
      <c r="D14" s="197" t="b">
        <f>D1='Setomaa vald'!C1</f>
        <v>1</v>
      </c>
      <c r="E14" s="197" t="b">
        <f>E1='Setomaa vald'!D1</f>
        <v>1</v>
      </c>
      <c r="F14" s="197" t="b">
        <f>F1='Setomaa vald'!E1</f>
        <v>1</v>
      </c>
      <c r="G14" s="197" t="b">
        <f>G1='Setomaa vald'!F1</f>
        <v>1</v>
      </c>
      <c r="H14" s="197" t="b">
        <f>H1='Setomaa vald'!G1</f>
        <v>1</v>
      </c>
      <c r="I14" s="197" t="b">
        <f>I1='Setomaa vald'!H1</f>
        <v>1</v>
      </c>
      <c r="J14" s="197" t="b">
        <f>J1='Setomaa vald'!I1</f>
        <v>1</v>
      </c>
      <c r="K14" s="197" t="b">
        <f>K1='Setomaa vald'!J1</f>
        <v>1</v>
      </c>
      <c r="L14" s="197" t="b">
        <f>L1='Setomaa vald'!K1</f>
        <v>1</v>
      </c>
      <c r="M14" s="197" t="b">
        <f>M1='Setomaa vald'!L1</f>
        <v>1</v>
      </c>
      <c r="N14" s="197" t="b">
        <f>N1='Setomaa vald'!M1</f>
        <v>1</v>
      </c>
      <c r="O14" s="197" t="b">
        <f>O1='Setomaa vald'!N1</f>
        <v>1</v>
      </c>
      <c r="P14" s="197" t="b">
        <f>P1='Setomaa vald'!O1</f>
        <v>1</v>
      </c>
      <c r="Q14" s="197" t="b">
        <f>Q1='Setomaa vald'!P1</f>
        <v>1</v>
      </c>
      <c r="R14" s="197" t="b">
        <f>R1='Setomaa vald'!Q1</f>
        <v>1</v>
      </c>
      <c r="S14" s="197" t="b">
        <f>S1='Setomaa vald'!R1</f>
        <v>1</v>
      </c>
      <c r="T14" s="197" t="b">
        <f>T1='Setomaa vald'!S1</f>
        <v>1</v>
      </c>
      <c r="U14" s="197" t="b">
        <f>U1='Setomaa vald'!T1</f>
        <v>1</v>
      </c>
      <c r="V14" s="197" t="b">
        <f>V1='Setomaa vald'!U1</f>
        <v>1</v>
      </c>
      <c r="W14" s="197" t="b">
        <f>W1='Setomaa vald'!V1</f>
        <v>1</v>
      </c>
      <c r="X14" s="197" t="b">
        <f>X1='Setomaa vald'!W1</f>
        <v>1</v>
      </c>
      <c r="Y14" s="197" t="b">
        <f>Y1='Setomaa vald'!X1</f>
        <v>1</v>
      </c>
      <c r="Z14" s="197" t="b">
        <f>Z1='Setomaa vald'!Y1</f>
        <v>1</v>
      </c>
    </row>
    <row r="15">
      <c r="A15" s="47" t="s">
        <v>2394</v>
      </c>
      <c r="B15" s="197" t="b">
        <f>B1='Võru linn'!A1</f>
        <v>1</v>
      </c>
      <c r="C15" s="197" t="b">
        <f>C1='Võru linn'!B1</f>
        <v>1</v>
      </c>
      <c r="D15" s="197" t="b">
        <f>D1='Võru linn'!C1</f>
        <v>1</v>
      </c>
      <c r="E15" s="197" t="b">
        <f>E1='Võru linn'!D1</f>
        <v>1</v>
      </c>
      <c r="F15" s="197" t="b">
        <f>F1='Võru linn'!E1</f>
        <v>1</v>
      </c>
      <c r="G15" s="197" t="b">
        <f>G1='Võru linn'!F1</f>
        <v>1</v>
      </c>
      <c r="H15" s="197" t="b">
        <f>H1='Võru linn'!G1</f>
        <v>1</v>
      </c>
      <c r="I15" s="197" t="b">
        <f>I1='Võru linn'!H1</f>
        <v>1</v>
      </c>
      <c r="J15" s="197" t="b">
        <f>J1='Võru linn'!I1</f>
        <v>1</v>
      </c>
      <c r="K15" s="197" t="b">
        <f>K1='Võru linn'!J1</f>
        <v>1</v>
      </c>
      <c r="L15" s="197" t="b">
        <f>L1='Võru linn'!K1</f>
        <v>1</v>
      </c>
      <c r="M15" s="197" t="b">
        <f>M1='Võru linn'!L1</f>
        <v>1</v>
      </c>
      <c r="N15" s="197" t="b">
        <f>N1='Võru linn'!M1</f>
        <v>1</v>
      </c>
      <c r="O15" s="197" t="b">
        <f>O1='Võru linn'!N1</f>
        <v>1</v>
      </c>
      <c r="P15" s="197" t="b">
        <f>P1='Võru linn'!O1</f>
        <v>1</v>
      </c>
      <c r="Q15" s="197" t="b">
        <f>Q1='Võru linn'!P1</f>
        <v>1</v>
      </c>
      <c r="R15" s="197" t="b">
        <f>R1='Võru linn'!Q1</f>
        <v>1</v>
      </c>
      <c r="S15" s="197" t="b">
        <f>S1='Võru linn'!R1</f>
        <v>1</v>
      </c>
      <c r="T15" s="197" t="b">
        <f>T1='Võru linn'!S1</f>
        <v>1</v>
      </c>
      <c r="U15" s="197" t="b">
        <f>U1='Võru linn'!T1</f>
        <v>1</v>
      </c>
      <c r="V15" s="197" t="b">
        <f>V1='Võru linn'!U1</f>
        <v>1</v>
      </c>
      <c r="W15" s="197" t="b">
        <f>W1='Võru linn'!V1</f>
        <v>1</v>
      </c>
      <c r="X15" s="197" t="b">
        <f>X1='Võru linn'!W1</f>
        <v>1</v>
      </c>
      <c r="Y15" s="197" t="b">
        <f>Y1='Võru linn'!X1</f>
        <v>1</v>
      </c>
      <c r="Z15" s="197" t="b">
        <f>Z1='Võru linn'!Y1</f>
        <v>1</v>
      </c>
    </row>
    <row r="16">
      <c r="A16" s="47" t="s">
        <v>2441</v>
      </c>
      <c r="B16" s="197" t="b">
        <f>B1='Võru vald'!A1</f>
        <v>1</v>
      </c>
      <c r="C16" s="197" t="b">
        <f>C1='Võru vald'!B1</f>
        <v>1</v>
      </c>
      <c r="D16" s="197" t="b">
        <f>D1='Võru vald'!C1</f>
        <v>1</v>
      </c>
      <c r="E16" s="197" t="b">
        <f>E1='Võru vald'!D1</f>
        <v>1</v>
      </c>
      <c r="F16" s="197" t="b">
        <f>F1='Võru vald'!E1</f>
        <v>1</v>
      </c>
      <c r="G16" s="197" t="b">
        <f>G1='Võru vald'!F1</f>
        <v>1</v>
      </c>
      <c r="H16" s="197" t="b">
        <f>H1='Võru vald'!G1</f>
        <v>1</v>
      </c>
      <c r="I16" s="197" t="b">
        <f>I1='Võru vald'!H1</f>
        <v>1</v>
      </c>
      <c r="J16" s="197" t="b">
        <f>J1='Võru vald'!I1</f>
        <v>1</v>
      </c>
      <c r="K16" s="197" t="b">
        <f>K1='Võru vald'!J1</f>
        <v>1</v>
      </c>
      <c r="L16" s="197" t="b">
        <f>L1='Võru vald'!K1</f>
        <v>1</v>
      </c>
      <c r="M16" s="197" t="b">
        <f>M1='Võru vald'!L1</f>
        <v>1</v>
      </c>
      <c r="N16" s="197" t="b">
        <f>N1='Võru vald'!M1</f>
        <v>1</v>
      </c>
      <c r="O16" s="197" t="b">
        <f>O1='Võru vald'!N1</f>
        <v>1</v>
      </c>
      <c r="P16" s="197" t="b">
        <f>P1='Võru vald'!O1</f>
        <v>1</v>
      </c>
      <c r="Q16" s="197" t="b">
        <f>Q1='Võru vald'!P1</f>
        <v>1</v>
      </c>
      <c r="R16" s="197" t="b">
        <f>R1='Võru vald'!Q1</f>
        <v>1</v>
      </c>
      <c r="S16" s="197" t="b">
        <f>S1='Võru vald'!R1</f>
        <v>1</v>
      </c>
      <c r="T16" s="197" t="b">
        <f>T1='Võru vald'!S1</f>
        <v>1</v>
      </c>
      <c r="U16" s="197" t="b">
        <f>U1='Võru vald'!T1</f>
        <v>1</v>
      </c>
      <c r="V16" s="197" t="b">
        <f>V1='Võru vald'!U1</f>
        <v>1</v>
      </c>
      <c r="W16" s="197" t="b">
        <f>W1='Võru vald'!V1</f>
        <v>1</v>
      </c>
      <c r="X16" s="197" t="b">
        <f>X1='Võru vald'!W1</f>
        <v>1</v>
      </c>
      <c r="Y16" s="197" t="b">
        <f>Y1='Võru vald'!X1</f>
        <v>1</v>
      </c>
      <c r="Z16" s="197" t="b">
        <f>Z1='Võru vald'!Y1</f>
        <v>1</v>
      </c>
    </row>
    <row r="17">
      <c r="A17" s="47" t="s">
        <v>2608</v>
      </c>
      <c r="B17" s="197" t="b">
        <f>B1='Rõuge vald'!A1</f>
        <v>1</v>
      </c>
      <c r="C17" s="197" t="b">
        <f>C1='Rõuge vald'!B1</f>
        <v>1</v>
      </c>
      <c r="D17" s="197" t="b">
        <f>D1='Rõuge vald'!C1</f>
        <v>1</v>
      </c>
      <c r="E17" s="197" t="b">
        <f>E1='Rõuge vald'!D1</f>
        <v>1</v>
      </c>
      <c r="F17" s="197" t="b">
        <f>F1='Rõuge vald'!E1</f>
        <v>1</v>
      </c>
      <c r="G17" s="197" t="b">
        <f>G1='Rõuge vald'!F1</f>
        <v>1</v>
      </c>
      <c r="H17" s="197" t="b">
        <f>H1='Rõuge vald'!G1</f>
        <v>1</v>
      </c>
      <c r="I17" s="197" t="b">
        <f>I1='Rõuge vald'!H1</f>
        <v>1</v>
      </c>
      <c r="J17" s="197" t="b">
        <f>J1='Rõuge vald'!I1</f>
        <v>1</v>
      </c>
      <c r="K17" s="197" t="b">
        <f>K1='Rõuge vald'!J1</f>
        <v>1</v>
      </c>
      <c r="L17" s="197" t="b">
        <f>L1='Rõuge vald'!K1</f>
        <v>1</v>
      </c>
      <c r="M17" s="197" t="b">
        <f>M1='Rõuge vald'!L1</f>
        <v>1</v>
      </c>
      <c r="N17" s="197" t="b">
        <f>N1='Rõuge vald'!M1</f>
        <v>1</v>
      </c>
      <c r="O17" s="197" t="b">
        <f>O1='Rõuge vald'!N1</f>
        <v>1</v>
      </c>
      <c r="P17" s="197" t="b">
        <f>P1='Rõuge vald'!O1</f>
        <v>1</v>
      </c>
      <c r="Q17" s="197" t="b">
        <f>Q1='Rõuge vald'!P1</f>
        <v>1</v>
      </c>
      <c r="R17" s="197" t="b">
        <f>R1='Rõuge vald'!Q1</f>
        <v>1</v>
      </c>
      <c r="S17" s="197" t="b">
        <f>S1='Rõuge vald'!R1</f>
        <v>1</v>
      </c>
      <c r="T17" s="197" t="b">
        <f>T1='Rõuge vald'!S1</f>
        <v>1</v>
      </c>
      <c r="U17" s="197" t="b">
        <f>U1='Rõuge vald'!T1</f>
        <v>1</v>
      </c>
      <c r="V17" s="197" t="b">
        <f>V1='Rõuge vald'!U1</f>
        <v>1</v>
      </c>
      <c r="W17" s="197" t="b">
        <f>W1='Rõuge vald'!V1</f>
        <v>1</v>
      </c>
      <c r="X17" s="197" t="b">
        <f>X1='Rõuge vald'!W1</f>
        <v>1</v>
      </c>
      <c r="Y17" s="197" t="b">
        <f>Y1='Rõuge vald'!X1</f>
        <v>1</v>
      </c>
      <c r="Z17" s="197" t="b">
        <f>Z1='Rõuge vald'!Y1</f>
        <v>1</v>
      </c>
    </row>
    <row r="18">
      <c r="A18" s="47" t="s">
        <v>2739</v>
      </c>
      <c r="B18" s="197" t="b">
        <f>B1='Valga vald'!A1</f>
        <v>1</v>
      </c>
      <c r="C18" s="197" t="b">
        <f>C1='Valga vald'!B1</f>
        <v>1</v>
      </c>
      <c r="D18" s="197" t="b">
        <f>D1='Valga vald'!C1</f>
        <v>1</v>
      </c>
      <c r="E18" s="197" t="b">
        <f>E1='Valga vald'!D1</f>
        <v>1</v>
      </c>
      <c r="F18" s="197" t="b">
        <f>F1='Valga vald'!E1</f>
        <v>1</v>
      </c>
      <c r="G18" s="197" t="b">
        <f>G1='Valga vald'!F1</f>
        <v>1</v>
      </c>
      <c r="H18" s="197" t="b">
        <f>H1='Valga vald'!G1</f>
        <v>1</v>
      </c>
      <c r="I18" s="197" t="b">
        <f>I1='Valga vald'!H1</f>
        <v>1</v>
      </c>
      <c r="J18" s="197" t="b">
        <f>J1='Valga vald'!I1</f>
        <v>1</v>
      </c>
      <c r="K18" s="197" t="b">
        <f>K1='Valga vald'!J1</f>
        <v>1</v>
      </c>
      <c r="L18" s="197" t="b">
        <f>L1='Valga vald'!K1</f>
        <v>1</v>
      </c>
      <c r="M18" s="197" t="b">
        <f>M1='Valga vald'!L1</f>
        <v>1</v>
      </c>
      <c r="N18" s="197" t="b">
        <f>N1='Valga vald'!M1</f>
        <v>1</v>
      </c>
      <c r="O18" s="197" t="b">
        <f>O1='Valga vald'!N1</f>
        <v>1</v>
      </c>
      <c r="P18" s="197" t="b">
        <f>P1='Valga vald'!O1</f>
        <v>1</v>
      </c>
      <c r="Q18" s="197" t="b">
        <f>Q1='Valga vald'!P1</f>
        <v>1</v>
      </c>
      <c r="R18" s="197" t="b">
        <f>R1='Valga vald'!Q1</f>
        <v>1</v>
      </c>
      <c r="S18" s="197" t="b">
        <f>S1='Valga vald'!R1</f>
        <v>1</v>
      </c>
      <c r="T18" s="197" t="b">
        <f>T1='Valga vald'!S1</f>
        <v>1</v>
      </c>
      <c r="U18" s="197" t="b">
        <f>U1='Valga vald'!T1</f>
        <v>1</v>
      </c>
      <c r="V18" s="197" t="b">
        <f>V1='Valga vald'!U1</f>
        <v>1</v>
      </c>
      <c r="W18" s="197" t="b">
        <f>W1='Valga vald'!V1</f>
        <v>1</v>
      </c>
      <c r="X18" s="197" t="b">
        <f>X1='Valga vald'!W1</f>
        <v>1</v>
      </c>
      <c r="Y18" s="197" t="b">
        <f>Y1='Valga vald'!X1</f>
        <v>1</v>
      </c>
      <c r="Z18" s="197" t="b">
        <f>Z1='Valga vald'!Y1</f>
        <v>1</v>
      </c>
    </row>
    <row r="19">
      <c r="A19" s="47" t="s">
        <v>3231</v>
      </c>
      <c r="B19" s="197" t="b">
        <f>B1='Tõrva vald'!A1</f>
        <v>1</v>
      </c>
      <c r="C19" s="197" t="b">
        <f>C1='Tõrva vald'!B1</f>
        <v>1</v>
      </c>
      <c r="D19" s="197" t="b">
        <f>D1='Tõrva vald'!C1</f>
        <v>1</v>
      </c>
      <c r="E19" s="197" t="b">
        <f>E1='Tõrva vald'!D1</f>
        <v>1</v>
      </c>
      <c r="F19" s="197" t="b">
        <f>F1='Tõrva vald'!E1</f>
        <v>1</v>
      </c>
      <c r="G19" s="197" t="b">
        <f>G1='Tõrva vald'!F1</f>
        <v>1</v>
      </c>
      <c r="H19" s="197" t="b">
        <f>H1='Tõrva vald'!G1</f>
        <v>1</v>
      </c>
      <c r="I19" s="197" t="b">
        <f>I1='Tõrva vald'!H1</f>
        <v>1</v>
      </c>
      <c r="J19" s="197" t="b">
        <f>J1='Tõrva vald'!I1</f>
        <v>1</v>
      </c>
      <c r="K19" s="197" t="b">
        <f>K1='Tõrva vald'!J1</f>
        <v>1</v>
      </c>
      <c r="L19" s="197" t="b">
        <f>L1='Tõrva vald'!K1</f>
        <v>1</v>
      </c>
      <c r="M19" s="197" t="b">
        <f>M1='Tõrva vald'!L1</f>
        <v>1</v>
      </c>
      <c r="N19" s="197" t="b">
        <f>N1='Tõrva vald'!M1</f>
        <v>1</v>
      </c>
      <c r="O19" s="197" t="b">
        <f>O1='Tõrva vald'!N1</f>
        <v>1</v>
      </c>
      <c r="P19" s="197" t="b">
        <f>P1='Tõrva vald'!O1</f>
        <v>1</v>
      </c>
      <c r="Q19" s="197" t="b">
        <f>Q1='Tõrva vald'!P1</f>
        <v>1</v>
      </c>
      <c r="R19" s="197" t="b">
        <f>R1='Tõrva vald'!Q1</f>
        <v>1</v>
      </c>
      <c r="S19" s="197" t="b">
        <f>S1='Tõrva vald'!R1</f>
        <v>1</v>
      </c>
      <c r="T19" s="197" t="b">
        <f>T1='Tõrva vald'!S1</f>
        <v>1</v>
      </c>
      <c r="U19" s="197" t="b">
        <f>U1='Tõrva vald'!T1</f>
        <v>1</v>
      </c>
      <c r="V19" s="197" t="b">
        <f>V1='Tõrva vald'!U1</f>
        <v>1</v>
      </c>
      <c r="W19" s="197" t="b">
        <f>W1='Tõrva vald'!V1</f>
        <v>1</v>
      </c>
      <c r="X19" s="197" t="b">
        <f>X1='Tõrva vald'!W1</f>
        <v>1</v>
      </c>
      <c r="Y19" s="197" t="b">
        <f>Y1='Tõrva vald'!X1</f>
        <v>1</v>
      </c>
      <c r="Z19" s="197" t="b">
        <f>Z1='Tõrva vald'!Y1</f>
        <v>1</v>
      </c>
    </row>
    <row r="20">
      <c r="A20" s="47" t="s">
        <v>2914</v>
      </c>
      <c r="B20" s="197" t="b">
        <f>B1='Otepää vald'!A1</f>
        <v>1</v>
      </c>
      <c r="C20" s="197" t="b">
        <f>C1='Otepää vald'!B1</f>
        <v>1</v>
      </c>
      <c r="D20" s="197" t="b">
        <f>D1='Otepää vald'!C1</f>
        <v>1</v>
      </c>
      <c r="E20" s="197" t="b">
        <f>E1='Otepää vald'!D1</f>
        <v>1</v>
      </c>
      <c r="F20" s="197" t="b">
        <f>F1='Otepää vald'!E1</f>
        <v>1</v>
      </c>
      <c r="G20" s="197" t="b">
        <f>G1='Otepää vald'!F1</f>
        <v>1</v>
      </c>
      <c r="H20" s="197" t="b">
        <f>H1='Otepää vald'!G1</f>
        <v>1</v>
      </c>
      <c r="I20" s="197" t="b">
        <f>I1='Otepää vald'!H1</f>
        <v>1</v>
      </c>
      <c r="J20" s="197" t="b">
        <f>J1='Otepää vald'!I1</f>
        <v>1</v>
      </c>
      <c r="K20" s="197" t="b">
        <f>K1='Otepää vald'!J1</f>
        <v>1</v>
      </c>
      <c r="L20" s="197" t="b">
        <f>L1='Otepää vald'!K1</f>
        <v>1</v>
      </c>
      <c r="M20" s="197" t="b">
        <f>M1='Otepää vald'!L1</f>
        <v>1</v>
      </c>
      <c r="N20" s="197" t="b">
        <f>N1='Otepää vald'!M1</f>
        <v>1</v>
      </c>
      <c r="O20" s="197" t="b">
        <f>O1='Otepää vald'!N1</f>
        <v>1</v>
      </c>
      <c r="P20" s="197" t="b">
        <f>P1='Otepää vald'!O1</f>
        <v>1</v>
      </c>
      <c r="Q20" s="197" t="b">
        <f>Q1='Otepää vald'!P1</f>
        <v>1</v>
      </c>
      <c r="R20" s="197" t="b">
        <f>R1='Otepää vald'!Q1</f>
        <v>1</v>
      </c>
      <c r="S20" s="197" t="b">
        <f>S1='Otepää vald'!R1</f>
        <v>1</v>
      </c>
      <c r="T20" s="197" t="b">
        <f>T1='Otepää vald'!S1</f>
        <v>1</v>
      </c>
      <c r="U20" s="197" t="b">
        <f>U1='Otepää vald'!T1</f>
        <v>1</v>
      </c>
      <c r="V20" s="197" t="b">
        <f>V1='Otepää vald'!U1</f>
        <v>1</v>
      </c>
      <c r="W20" s="197" t="b">
        <f>W1='Otepää vald'!V1</f>
        <v>1</v>
      </c>
      <c r="X20" s="197" t="b">
        <f>X1='Otepää vald'!W1</f>
        <v>1</v>
      </c>
      <c r="Y20" s="197" t="b">
        <f>Y1='Otepää vald'!X1</f>
        <v>1</v>
      </c>
      <c r="Z20" s="197" t="b">
        <f>Z1='Otepää vald'!Y1</f>
        <v>1</v>
      </c>
    </row>
    <row r="21">
      <c r="A21" s="47" t="s">
        <v>3083</v>
      </c>
      <c r="B21" s="197" t="b">
        <f>B1='Viljandi linn'!A1</f>
        <v>1</v>
      </c>
      <c r="C21" s="197" t="b">
        <f>C1='Viljandi linn'!B1</f>
        <v>1</v>
      </c>
      <c r="D21" s="197" t="b">
        <f>D1='Viljandi linn'!C1</f>
        <v>1</v>
      </c>
      <c r="E21" s="197" t="b">
        <f>E1='Viljandi linn'!D1</f>
        <v>1</v>
      </c>
      <c r="F21" s="197" t="b">
        <f>F1='Viljandi linn'!E1</f>
        <v>1</v>
      </c>
      <c r="G21" s="197" t="b">
        <f>G1='Viljandi linn'!F1</f>
        <v>1</v>
      </c>
      <c r="H21" s="197" t="b">
        <f>H1='Viljandi linn'!G1</f>
        <v>1</v>
      </c>
      <c r="I21" s="197" t="b">
        <f>I1='Viljandi linn'!H1</f>
        <v>1</v>
      </c>
      <c r="J21" s="197" t="b">
        <f>J1='Viljandi linn'!I1</f>
        <v>1</v>
      </c>
      <c r="K21" s="197" t="b">
        <f>K1='Viljandi linn'!J1</f>
        <v>1</v>
      </c>
      <c r="L21" s="197" t="b">
        <f>L1='Viljandi linn'!K1</f>
        <v>1</v>
      </c>
      <c r="M21" s="197" t="b">
        <f>M1='Viljandi linn'!L1</f>
        <v>1</v>
      </c>
      <c r="N21" s="197" t="b">
        <f>N1='Viljandi linn'!M1</f>
        <v>1</v>
      </c>
      <c r="O21" s="197" t="b">
        <f>O1='Viljandi linn'!N1</f>
        <v>1</v>
      </c>
      <c r="P21" s="197" t="b">
        <f>P1='Viljandi linn'!O1</f>
        <v>1</v>
      </c>
      <c r="Q21" s="197" t="b">
        <f>Q1='Viljandi linn'!P1</f>
        <v>1</v>
      </c>
      <c r="R21" s="197" t="b">
        <f>R1='Viljandi linn'!Q1</f>
        <v>1</v>
      </c>
      <c r="S21" s="197" t="b">
        <f>S1='Viljandi linn'!R1</f>
        <v>1</v>
      </c>
      <c r="T21" s="197" t="b">
        <f>T1='Viljandi linn'!S1</f>
        <v>1</v>
      </c>
      <c r="U21" s="197" t="b">
        <f>U1='Viljandi linn'!T1</f>
        <v>1</v>
      </c>
      <c r="V21" s="197" t="b">
        <f>V1='Viljandi linn'!U1</f>
        <v>1</v>
      </c>
      <c r="W21" s="197" t="b">
        <f>W1='Viljandi linn'!V1</f>
        <v>1</v>
      </c>
      <c r="X21" s="197" t="b">
        <f>X1='Viljandi linn'!W1</f>
        <v>1</v>
      </c>
      <c r="Y21" s="197" t="b">
        <f>Y1='Viljandi linn'!X1</f>
        <v>1</v>
      </c>
      <c r="Z21" s="197" t="b">
        <f>Z1='Viljandi linn'!Y1</f>
        <v>1</v>
      </c>
    </row>
  </sheetData>
  <conditionalFormatting sqref="B2:Z21">
    <cfRule type="containsText" dxfId="1" priority="1" operator="containsText" text="FALSE">
      <formula>NOT(ISERROR(SEARCH(("FALSE"),(B2))))</formula>
    </cfRule>
  </conditionalFormatting>
  <drawing r:id="rId1"/>
</worksheet>
</file>