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Spin\JanevaM15$\_System\Desktop\"/>
    </mc:Choice>
  </mc:AlternateContent>
  <bookViews>
    <workbookView xWindow="0" yWindow="0" windowWidth="21570" windowHeight="8055" activeTab="2"/>
  </bookViews>
  <sheets>
    <sheet name="drevesa" sheetId="1" r:id="rId1"/>
    <sheet name="grafi" sheetId="2" r:id="rId2"/>
    <sheet name="enociklicni grafi" sheetId="3" r:id="rId3"/>
  </sheets>
  <calcPr calcId="162913"/>
</workbook>
</file>

<file path=xl/calcChain.xml><?xml version="1.0" encoding="utf-8"?>
<calcChain xmlns="http://schemas.openxmlformats.org/spreadsheetml/2006/main">
  <c r="F16" i="3" l="1"/>
  <c r="D16" i="3"/>
  <c r="F15" i="3"/>
  <c r="D15" i="3"/>
  <c r="C14" i="3"/>
  <c r="D14" i="3"/>
  <c r="E14" i="3"/>
  <c r="F14" i="3"/>
  <c r="C15" i="3"/>
  <c r="E15" i="3"/>
  <c r="C16" i="3"/>
  <c r="E16" i="3"/>
  <c r="C17" i="3"/>
  <c r="E17" i="3"/>
  <c r="C18" i="3"/>
  <c r="E18" i="3"/>
  <c r="D5" i="3"/>
  <c r="D6" i="3"/>
  <c r="D7" i="3"/>
  <c r="C8" i="3"/>
  <c r="D8" i="3"/>
  <c r="C9" i="3"/>
  <c r="D9" i="3"/>
  <c r="D80" i="1" l="1"/>
  <c r="D79" i="1"/>
  <c r="D78" i="1"/>
  <c r="D77" i="1"/>
  <c r="D76" i="1"/>
  <c r="D74" i="1"/>
  <c r="D73" i="1"/>
  <c r="D72" i="1"/>
  <c r="D71" i="1"/>
  <c r="D70" i="1"/>
  <c r="D67" i="1"/>
  <c r="D66" i="1"/>
  <c r="D65" i="1"/>
  <c r="D64" i="1"/>
  <c r="D63" i="1"/>
  <c r="D61" i="1"/>
  <c r="D60" i="1"/>
  <c r="D59" i="1"/>
  <c r="D58" i="1"/>
  <c r="D57" i="1"/>
  <c r="D93" i="1"/>
  <c r="E83" i="1"/>
  <c r="E91" i="1"/>
  <c r="E89" i="1"/>
  <c r="E93" i="1"/>
  <c r="E92" i="1"/>
  <c r="E90" i="1"/>
  <c r="E87" i="1"/>
  <c r="E86" i="1"/>
  <c r="E85" i="1"/>
  <c r="E84" i="1"/>
  <c r="E80" i="1"/>
  <c r="E79" i="1"/>
  <c r="E78" i="1"/>
  <c r="E77" i="1"/>
  <c r="E76" i="1"/>
  <c r="E74" i="1"/>
  <c r="E73" i="1"/>
  <c r="E72" i="1"/>
  <c r="E71" i="1"/>
  <c r="E70" i="1"/>
  <c r="E67" i="1"/>
  <c r="E66" i="1"/>
  <c r="E65" i="1"/>
  <c r="E64" i="1"/>
  <c r="E63" i="1"/>
  <c r="E60" i="1"/>
  <c r="E59" i="1"/>
  <c r="E58" i="1"/>
  <c r="E57" i="1"/>
  <c r="E54" i="1"/>
  <c r="E53" i="1"/>
  <c r="E52" i="1"/>
  <c r="E51" i="1"/>
  <c r="E50" i="1"/>
  <c r="E48" i="1"/>
  <c r="E47" i="1"/>
  <c r="E46" i="1"/>
  <c r="E45" i="1"/>
  <c r="E44" i="1"/>
  <c r="E41" i="1"/>
  <c r="E34" i="1"/>
  <c r="E33" i="1"/>
  <c r="E32" i="1"/>
  <c r="E31" i="1"/>
  <c r="E22" i="1"/>
  <c r="E21" i="1"/>
  <c r="E20" i="1"/>
  <c r="E19" i="1"/>
  <c r="E18" i="1"/>
  <c r="D96" i="1"/>
  <c r="D92" i="1"/>
  <c r="D91" i="1" l="1"/>
  <c r="D90" i="1"/>
  <c r="D89" i="1"/>
  <c r="D87" i="1"/>
  <c r="D86" i="1"/>
  <c r="D85" i="1"/>
  <c r="D84" i="1"/>
  <c r="D83" i="1"/>
  <c r="D53" i="1"/>
  <c r="D52" i="1"/>
  <c r="D51" i="1"/>
  <c r="D48" i="1"/>
  <c r="D47" i="1"/>
  <c r="D46" i="1"/>
  <c r="D45" i="1"/>
  <c r="D44" i="1"/>
  <c r="D54" i="1"/>
  <c r="D41" i="1"/>
  <c r="D40" i="1"/>
  <c r="D39" i="1"/>
  <c r="D38" i="1"/>
  <c r="D37" i="1"/>
  <c r="D35" i="1"/>
  <c r="D34" i="1"/>
  <c r="D33" i="1"/>
  <c r="D32" i="1"/>
  <c r="D31" i="1"/>
  <c r="D28" i="1"/>
  <c r="D27" i="1"/>
  <c r="D26" i="1"/>
  <c r="D25" i="1"/>
  <c r="D24" i="1"/>
  <c r="D22" i="1"/>
  <c r="D21" i="1"/>
  <c r="D20" i="1"/>
  <c r="D19" i="1"/>
  <c r="D18" i="1"/>
  <c r="D15" i="1"/>
  <c r="D14" i="1"/>
  <c r="D12" i="1"/>
  <c r="D11" i="1"/>
  <c r="D7" i="1"/>
  <c r="D5" i="1"/>
  <c r="D13" i="1"/>
  <c r="E8" i="1"/>
  <c r="E7" i="1"/>
  <c r="E6" i="1"/>
  <c r="E5" i="1"/>
</calcChain>
</file>

<file path=xl/sharedStrings.xml><?xml version="1.0" encoding="utf-8"?>
<sst xmlns="http://schemas.openxmlformats.org/spreadsheetml/2006/main" count="60" uniqueCount="35">
  <si>
    <t>število vozlišč</t>
  </si>
  <si>
    <t>alpha</t>
  </si>
  <si>
    <t>min AZI_alpha vrednost</t>
  </si>
  <si>
    <t>max AZI_alpha vrednost</t>
  </si>
  <si>
    <t>Za alpha &lt; -10 so minimalne  Azi vrednosti zelo majhne</t>
  </si>
  <si>
    <t xml:space="preserve">Število vozlišč </t>
  </si>
  <si>
    <t>min AZI:alpha vrednost</t>
  </si>
  <si>
    <t>aplha</t>
  </si>
  <si>
    <t>Pri 100000 korakih potrebuje približno 2 minute</t>
  </si>
  <si>
    <t>Pri 10000 korakih potrebuje 2 minute</t>
  </si>
  <si>
    <t>Pri 100000 korakih potrebuje približno 5 minut</t>
  </si>
  <si>
    <t>Pri 10000 korakih potrebuje manj kot minuto</t>
  </si>
  <si>
    <t>Pri 10000 korakih  izračuna hitro</t>
  </si>
  <si>
    <t>Pri 10000 korakih potrebuje približno 9 minut</t>
  </si>
  <si>
    <t>Pri 100000 korakih potrebuje približno</t>
  </si>
  <si>
    <t>Pri 100000 korakih potrebuje približno 17 minut</t>
  </si>
  <si>
    <t>ST.GRAFOV</t>
  </si>
  <si>
    <t>MIN</t>
  </si>
  <si>
    <t>MAX</t>
  </si>
  <si>
    <t>st. vozlišč</t>
  </si>
  <si>
    <t>DIREKTNA ANALIZA</t>
  </si>
  <si>
    <t>9m</t>
  </si>
  <si>
    <t>5m</t>
  </si>
  <si>
    <t>4m</t>
  </si>
  <si>
    <t>2m</t>
  </si>
  <si>
    <t>1m</t>
  </si>
  <si>
    <t>ČAS</t>
  </si>
  <si>
    <t>ST.KORAKOV</t>
  </si>
  <si>
    <t>MIN_2</t>
  </si>
  <si>
    <t>MIN_1</t>
  </si>
  <si>
    <t>MAX_2</t>
  </si>
  <si>
    <t>MAX_1</t>
  </si>
  <si>
    <t>št.vozlišč</t>
  </si>
  <si>
    <t>POSREDNA ANALIZA</t>
  </si>
  <si>
    <t xml:space="preserve"> Pri n = 1000 potrebujemo več kot 20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</si>
</sst>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\ _€_-;\-* #,##0.00\ _€_-;_-* &quot;-&quot;??\ _€_-;_-@_-"/>
    <numFmt numFmtId="165" formatCode="_-* #,##0.000\ _€_-;\-* #,##0.000\ _€_-;_-* &quot;-&quot;??\ _€_-;_-@_-"/>
    <numFmt numFmtId="170" formatCode="0.0"/>
  </numFmts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ourier New"/>
      <family val="3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3" xfId="0" applyNumberFormat="1" applyBorder="1"/>
    <xf numFmtId="0" fontId="3" fillId="0" borderId="1" xfId="0" applyFont="1" applyBorder="1" applyAlignment="1">
      <alignment horizontal="right"/>
    </xf>
    <xf numFmtId="164" fontId="3" fillId="0" borderId="1" xfId="1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165" fontId="3" fillId="0" borderId="3" xfId="1" applyNumberFormat="1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164" fontId="3" fillId="0" borderId="3" xfId="1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5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3" fillId="0" borderId="3" xfId="0" applyNumberFormat="1" applyFont="1" applyBorder="1" applyAlignment="1">
      <alignment horizontal="right"/>
    </xf>
    <xf numFmtId="0" fontId="3" fillId="0" borderId="9" xfId="0" applyNumberFormat="1" applyFont="1" applyBorder="1" applyAlignment="1">
      <alignment horizontal="right"/>
    </xf>
    <xf numFmtId="0" fontId="3" fillId="0" borderId="6" xfId="0" applyNumberFormat="1" applyFont="1" applyBorder="1" applyAlignment="1">
      <alignment horizontal="right"/>
    </xf>
    <xf numFmtId="170" fontId="0" fillId="0" borderId="1" xfId="0" applyNumberFormat="1" applyBorder="1"/>
    <xf numFmtId="0" fontId="0" fillId="2" borderId="1" xfId="0" applyFill="1" applyBorder="1"/>
    <xf numFmtId="0" fontId="0" fillId="3" borderId="0" xfId="0" applyFill="1"/>
  </cellXfs>
  <cellStyles count="2">
    <cellStyle name="Comma" xfId="1" builtinId="3"/>
    <cellStyle name="Normal" xfId="0" builtinId="0"/>
  </cellStyles>
  <dxfs count="61"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right" vertical="bottom" textRotation="0" wrapText="0" relativeIndent="-1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right" vertical="bottom" textRotation="0" wrapText="0" relativeIndent="-1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bottom" textRotation="0" wrapText="0" relativeIndent="-1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right" vertical="bottom" textRotation="0" wrapText="0" relativeIndent="-1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right" vertical="bottom" textRotation="0" wrapText="0" relativeIndent="-1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bottom" textRotation="0" wrapText="0" relativeIndent="-1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bottom" textRotation="0" wrapText="0" relativeIndent="-1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bottom" textRotation="0" wrapText="0" relativeIndent="-1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right" vertical="bottom" textRotation="0" wrapText="0" relativeIndent="-1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bottom" textRotation="0" wrapText="0" relativeIndent="-1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right" vertical="bottom" textRotation="0" wrapText="0" relativeIndent="-1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bottom" textRotation="0" wrapText="0" relativeIndent="-1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bottom" textRotation="0" wrapText="0" relativeIndent="-1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bottom" textRotation="0" wrapText="0" relativeIndent="-1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Minimalne vrednosti dreves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 = 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drevesa!$C$70:$C$75</c:f>
              <c:numCache>
                <c:formatCode>General</c:formatCode>
                <c:ptCount val="6"/>
                <c:pt idx="0">
                  <c:v>-10</c:v>
                </c:pt>
                <c:pt idx="1">
                  <c:v>-8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</c:numCache>
            </c:numRef>
          </c:cat>
          <c:val>
            <c:numRef>
              <c:f>drevesa!$D$5:$D$10</c:f>
              <c:numCache>
                <c:formatCode>_-* #,##0.00\ _€_-;\-* #,##0.00\ _€_-;_-* "-"??\ _€_-;_-@_-</c:formatCode>
                <c:ptCount val="6"/>
                <c:pt idx="0" formatCode="General">
                  <c:v>3.90625E-3</c:v>
                </c:pt>
                <c:pt idx="1">
                  <c:v>0.02</c:v>
                </c:pt>
                <c:pt idx="2" formatCode="General">
                  <c:v>0.5</c:v>
                </c:pt>
                <c:pt idx="3" formatCode="General">
                  <c:v>1</c:v>
                </c:pt>
                <c:pt idx="4" formatCode="General">
                  <c:v>2</c:v>
                </c:pt>
                <c:pt idx="5" formatCode="General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FC-4A0F-ACFB-41745E06CD6E}"/>
            </c:ext>
          </c:extLst>
        </c:ser>
        <c:ser>
          <c:idx val="1"/>
          <c:order val="1"/>
          <c:tx>
            <c:v>n = 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drevesa!$C$70:$C$75</c:f>
              <c:numCache>
                <c:formatCode>General</c:formatCode>
                <c:ptCount val="6"/>
                <c:pt idx="0">
                  <c:v>-10</c:v>
                </c:pt>
                <c:pt idx="1">
                  <c:v>-8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</c:numCache>
            </c:numRef>
          </c:cat>
          <c:val>
            <c:numRef>
              <c:f>drevesa!$D$18:$D$23</c:f>
              <c:numCache>
                <c:formatCode>General</c:formatCode>
                <c:ptCount val="6"/>
                <c:pt idx="0">
                  <c:v>4.8828125E-3</c:v>
                </c:pt>
                <c:pt idx="1">
                  <c:v>1.953125E-2</c:v>
                </c:pt>
                <c:pt idx="2">
                  <c:v>0.625</c:v>
                </c:pt>
                <c:pt idx="3" formatCode="_-* #,##0.00\ _€_-;\-* #,##0.00\ _€_-;_-* &quot;-&quot;??\ _€_-;_-@_-">
                  <c:v>1.25</c:v>
                </c:pt>
                <c:pt idx="4">
                  <c:v>2.5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FC-4A0F-ACFB-41745E06CD6E}"/>
            </c:ext>
          </c:extLst>
        </c:ser>
        <c:ser>
          <c:idx val="2"/>
          <c:order val="2"/>
          <c:tx>
            <c:v>n = 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drevesa!$C$70:$C$75</c:f>
              <c:numCache>
                <c:formatCode>General</c:formatCode>
                <c:ptCount val="6"/>
                <c:pt idx="0">
                  <c:v>-10</c:v>
                </c:pt>
                <c:pt idx="1">
                  <c:v>-8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</c:numCache>
            </c:numRef>
          </c:cat>
          <c:val>
            <c:numRef>
              <c:f>drevesa!$D$31:$D$36</c:f>
              <c:numCache>
                <c:formatCode>General</c:formatCode>
                <c:ptCount val="6"/>
                <c:pt idx="0">
                  <c:v>6.8359375E-3</c:v>
                </c:pt>
                <c:pt idx="1">
                  <c:v>2.734375E-2</c:v>
                </c:pt>
                <c:pt idx="2">
                  <c:v>0.875</c:v>
                </c:pt>
                <c:pt idx="3">
                  <c:v>1.75</c:v>
                </c:pt>
                <c:pt idx="4">
                  <c:v>3.5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FC-4A0F-ACFB-41745E06CD6E}"/>
            </c:ext>
          </c:extLst>
        </c:ser>
        <c:ser>
          <c:idx val="3"/>
          <c:order val="3"/>
          <c:tx>
            <c:v>n = 10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drevesa!$C$70:$C$75</c:f>
              <c:numCache>
                <c:formatCode>General</c:formatCode>
                <c:ptCount val="6"/>
                <c:pt idx="0">
                  <c:v>-10</c:v>
                </c:pt>
                <c:pt idx="1">
                  <c:v>-8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</c:numCache>
            </c:numRef>
          </c:cat>
          <c:val>
            <c:numRef>
              <c:f>drevesa!$D$44:$D$49</c:f>
              <c:numCache>
                <c:formatCode>General</c:formatCode>
                <c:ptCount val="6"/>
                <c:pt idx="0">
                  <c:v>8.1132286598217182E-3</c:v>
                </c:pt>
                <c:pt idx="1">
                  <c:v>3.2772438840347445E-2</c:v>
                </c:pt>
                <c:pt idx="2">
                  <c:v>1.0877914951989025</c:v>
                </c:pt>
                <c:pt idx="3">
                  <c:v>2.1975308641975309</c:v>
                </c:pt>
                <c:pt idx="4">
                  <c:v>4.4444444444444446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FC-4A0F-ACFB-41745E06CD6E}"/>
            </c:ext>
          </c:extLst>
        </c:ser>
        <c:ser>
          <c:idx val="4"/>
          <c:order val="4"/>
          <c:tx>
            <c:v>n =20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drevesa!$C$70:$C$75</c:f>
              <c:numCache>
                <c:formatCode>General</c:formatCode>
                <c:ptCount val="6"/>
                <c:pt idx="0">
                  <c:v>-10</c:v>
                </c:pt>
                <c:pt idx="1">
                  <c:v>-8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</c:numCache>
            </c:numRef>
          </c:cat>
          <c:val>
            <c:numRef>
              <c:f>drevesa!$D$57:$D$62</c:f>
              <c:numCache>
                <c:formatCode>General</c:formatCode>
                <c:ptCount val="6"/>
                <c:pt idx="0">
                  <c:v>1.6098160887372596E-2</c:v>
                </c:pt>
                <c:pt idx="1">
                  <c:v>6.4683505361389781E-2</c:v>
                </c:pt>
                <c:pt idx="2">
                  <c:v>2.2170138888888888</c:v>
                </c:pt>
                <c:pt idx="3">
                  <c:v>4.520833333333333</c:v>
                </c:pt>
                <c:pt idx="4">
                  <c:v>9.25</c:v>
                </c:pt>
                <c:pt idx="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FC-4A0F-ACFB-41745E06CD6E}"/>
            </c:ext>
          </c:extLst>
        </c:ser>
        <c:ser>
          <c:idx val="5"/>
          <c:order val="5"/>
          <c:tx>
            <c:v>n = 50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drevesa!$C$70:$C$75</c:f>
              <c:numCache>
                <c:formatCode>General</c:formatCode>
                <c:ptCount val="6"/>
                <c:pt idx="0">
                  <c:v>-10</c:v>
                </c:pt>
                <c:pt idx="1">
                  <c:v>-8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</c:numCache>
            </c:numRef>
          </c:cat>
          <c:val>
            <c:numRef>
              <c:f>drevesa!$D$70:$D$75</c:f>
              <c:numCache>
                <c:formatCode>General</c:formatCode>
                <c:ptCount val="6"/>
                <c:pt idx="0">
                  <c:v>4.4276522239286804E-2</c:v>
                </c:pt>
                <c:pt idx="1">
                  <c:v>0.21199814999131827</c:v>
                </c:pt>
                <c:pt idx="2">
                  <c:v>6.0478472222222219</c:v>
                </c:pt>
                <c:pt idx="3">
                  <c:v>12.016203703703704</c:v>
                </c:pt>
                <c:pt idx="4">
                  <c:v>24.208333333333332</c:v>
                </c:pt>
                <c:pt idx="5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FC-4A0F-ACFB-41745E06C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393129368"/>
        <c:axId val="393135600"/>
      </c:lineChart>
      <c:catAx>
        <c:axId val="393129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393135600"/>
        <c:crosses val="autoZero"/>
        <c:auto val="1"/>
        <c:lblAlgn val="ctr"/>
        <c:lblOffset val="100"/>
        <c:noMultiLvlLbl val="0"/>
      </c:catAx>
      <c:valAx>
        <c:axId val="39313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 AZI_alpha vrednost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393129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Minimalne vrednosti dreves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 =5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drevesa!$C$75:$C$80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drevesa!$D$10:$D$15</c:f>
              <c:numCache>
                <c:formatCode>_-* #,##0.00\ _€_-;\-* #,##0.00\ _€_-;_-* "-"??\ _€_-;_-@_-</c:formatCode>
                <c:ptCount val="6"/>
                <c:pt idx="0" formatCode="General">
                  <c:v>4</c:v>
                </c:pt>
                <c:pt idx="1">
                  <c:v>5.333333333333333</c:v>
                </c:pt>
                <c:pt idx="2" formatCode="General">
                  <c:v>7.1111111111111107</c:v>
                </c:pt>
                <c:pt idx="3" formatCode="General">
                  <c:v>9.481481481481481</c:v>
                </c:pt>
                <c:pt idx="4" formatCode="General">
                  <c:v>39.954884926078343</c:v>
                </c:pt>
                <c:pt idx="5" formatCode="General">
                  <c:v>71.030906535250381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4E-49E3-8CEA-971D3300B29C}"/>
            </c:ext>
          </c:extLst>
        </c:ser>
        <c:ser>
          <c:idx val="1"/>
          <c:order val="1"/>
          <c:tx>
            <c:v>n=6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drevesa!$C$75:$C$80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drevesa!$C$23:$C$28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8</c:v>
                </c:pt>
                <c:pt idx="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4E-49E3-8CEA-971D3300B29C}"/>
            </c:ext>
          </c:extLst>
        </c:ser>
        <c:ser>
          <c:idx val="2"/>
          <c:order val="2"/>
          <c:tx>
            <c:v>n = 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drevesa!$C$75:$C$80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drevesa!$D$36:$D$41</c:f>
              <c:numCache>
                <c:formatCode>General</c:formatCode>
                <c:ptCount val="6"/>
                <c:pt idx="0">
                  <c:v>7</c:v>
                </c:pt>
                <c:pt idx="1">
                  <c:v>8.1666666666666661</c:v>
                </c:pt>
                <c:pt idx="2">
                  <c:v>9.5277777777777786</c:v>
                </c:pt>
                <c:pt idx="3">
                  <c:v>11.11574074074074</c:v>
                </c:pt>
                <c:pt idx="4">
                  <c:v>24.025495708542906</c:v>
                </c:pt>
                <c:pt idx="5">
                  <c:v>2216.6032580264377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4E-49E3-8CEA-971D3300B29C}"/>
            </c:ext>
          </c:extLst>
        </c:ser>
        <c:ser>
          <c:idx val="3"/>
          <c:order val="3"/>
          <c:tx>
            <c:v>n =10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drevesa!$C$75:$C$80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drevesa!$D$49:$D$54</c:f>
              <c:numCache>
                <c:formatCode>General</c:formatCode>
                <c:ptCount val="6"/>
                <c:pt idx="0">
                  <c:v>9</c:v>
                </c:pt>
                <c:pt idx="1">
                  <c:v>13</c:v>
                </c:pt>
                <c:pt idx="2">
                  <c:v>11.390625</c:v>
                </c:pt>
                <c:pt idx="3">
                  <c:v>12.814453125</c:v>
                </c:pt>
                <c:pt idx="4">
                  <c:v>565.80802160471501</c:v>
                </c:pt>
                <c:pt idx="5">
                  <c:v>2138.5260828860569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4E-49E3-8CEA-971D3300B29C}"/>
            </c:ext>
          </c:extLst>
        </c:ser>
        <c:ser>
          <c:idx val="4"/>
          <c:order val="4"/>
          <c:tx>
            <c:v>n = 20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drevesa!$C$75:$C$80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drevesa!#REF!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4E-49E3-8CEA-971D3300B29C}"/>
            </c:ext>
          </c:extLst>
        </c:ser>
        <c:ser>
          <c:idx val="5"/>
          <c:order val="5"/>
          <c:tx>
            <c:v>n = 50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drevesa!$C$75:$C$80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drevesa!$D$75:$D$80</c:f>
              <c:numCache>
                <c:formatCode>General</c:formatCode>
                <c:ptCount val="6"/>
                <c:pt idx="0">
                  <c:v>49</c:v>
                </c:pt>
                <c:pt idx="1">
                  <c:v>81.591666666666669</c:v>
                </c:pt>
                <c:pt idx="2">
                  <c:v>105.98653628117914</c:v>
                </c:pt>
                <c:pt idx="3">
                  <c:v>119.87299725651577</c:v>
                </c:pt>
                <c:pt idx="4">
                  <c:v>1620.3952568527357</c:v>
                </c:pt>
                <c:pt idx="5">
                  <c:v>6244.1963216743534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84E-49E3-8CEA-971D3300B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443875808"/>
        <c:axId val="443872528"/>
      </c:lineChart>
      <c:catAx>
        <c:axId val="443875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43872528"/>
        <c:crosses val="autoZero"/>
        <c:auto val="1"/>
        <c:lblAlgn val="ctr"/>
        <c:lblOffset val="100"/>
        <c:noMultiLvlLbl val="0"/>
      </c:catAx>
      <c:valAx>
        <c:axId val="44387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 AZI_alpha vrednost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4387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Maksimalne vrednosti dreves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 = 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drevesa!$C$70:$C$75</c:f>
              <c:numCache>
                <c:formatCode>General</c:formatCode>
                <c:ptCount val="6"/>
                <c:pt idx="0">
                  <c:v>-10</c:v>
                </c:pt>
                <c:pt idx="1">
                  <c:v>-8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</c:numCache>
            </c:numRef>
          </c:cat>
          <c:val>
            <c:numRef>
              <c:f>drevesa!$E$5:$E$10</c:f>
              <c:numCache>
                <c:formatCode>General</c:formatCode>
                <c:ptCount val="6"/>
                <c:pt idx="0" formatCode="_-* #,##0.000\ _€_-;\-* #,##0.000\ _€_-;_-* &quot;-&quot;??\ _€_-;_-@_-">
                  <c:v>0.22525405883789063</c:v>
                </c:pt>
                <c:pt idx="1">
                  <c:v>0.40045166015625</c:v>
                </c:pt>
                <c:pt idx="2">
                  <c:v>1.6875</c:v>
                </c:pt>
                <c:pt idx="3" formatCode="_-* #,##0.00\ _€_-;\-* #,##0.00\ _€_-;_-* &quot;-&quot;??\ _€_-;_-@_-">
                  <c:v>2.25</c:v>
                </c:pt>
                <c:pt idx="4">
                  <c:v>3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A0-4DDA-92E0-4D786B5B0377}"/>
            </c:ext>
          </c:extLst>
        </c:ser>
        <c:ser>
          <c:idx val="1"/>
          <c:order val="1"/>
          <c:tx>
            <c:v>n = 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drevesa!$C$70:$C$75</c:f>
              <c:numCache>
                <c:formatCode>General</c:formatCode>
                <c:ptCount val="6"/>
                <c:pt idx="0">
                  <c:v>-10</c:v>
                </c:pt>
                <c:pt idx="1">
                  <c:v>-8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</c:numCache>
            </c:numRef>
          </c:cat>
          <c:val>
            <c:numRef>
              <c:f>drevesa!$E$18:$E$23</c:f>
              <c:numCache>
                <c:formatCode>General</c:formatCode>
                <c:ptCount val="6"/>
                <c:pt idx="0">
                  <c:v>0.53687091200000003</c:v>
                </c:pt>
                <c:pt idx="1">
                  <c:v>0.83886079999999996</c:v>
                </c:pt>
                <c:pt idx="2">
                  <c:v>2.56</c:v>
                </c:pt>
                <c:pt idx="3">
                  <c:v>3.2</c:v>
                </c:pt>
                <c:pt idx="4">
                  <c:v>4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A0-4DDA-92E0-4D786B5B0377}"/>
            </c:ext>
          </c:extLst>
        </c:ser>
        <c:ser>
          <c:idx val="2"/>
          <c:order val="2"/>
          <c:tx>
            <c:v>n = 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drevesa!$C$70:$C$75</c:f>
              <c:numCache>
                <c:formatCode>General</c:formatCode>
                <c:ptCount val="6"/>
                <c:pt idx="0">
                  <c:v>-10</c:v>
                </c:pt>
                <c:pt idx="1">
                  <c:v>-8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</c:numCache>
            </c:numRef>
          </c:cat>
          <c:val>
            <c:numRef>
              <c:f>drevesa!$E$31:$E$36</c:f>
              <c:numCache>
                <c:formatCode>General</c:formatCode>
                <c:ptCount val="6"/>
                <c:pt idx="0">
                  <c:v>1.4984082092091544</c:v>
                </c:pt>
                <c:pt idx="1">
                  <c:v>2.0395000625346826</c:v>
                </c:pt>
                <c:pt idx="2">
                  <c:v>4.408163265306122</c:v>
                </c:pt>
                <c:pt idx="3">
                  <c:v>5.1428571428571432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A0-4DDA-92E0-4D786B5B0377}"/>
            </c:ext>
          </c:extLst>
        </c:ser>
        <c:ser>
          <c:idx val="3"/>
          <c:order val="3"/>
          <c:tx>
            <c:v>n = 10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drevesa!$C$70:$C$75</c:f>
              <c:numCache>
                <c:formatCode>General</c:formatCode>
                <c:ptCount val="6"/>
                <c:pt idx="0">
                  <c:v>-10</c:v>
                </c:pt>
                <c:pt idx="1">
                  <c:v>-8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</c:numCache>
            </c:numRef>
          </c:cat>
          <c:val>
            <c:numRef>
              <c:f>drevesa!$E$44:$E$49</c:f>
              <c:numCache>
                <c:formatCode>General</c:formatCode>
                <c:ptCount val="6"/>
                <c:pt idx="0">
                  <c:v>2.7715153289169483</c:v>
                </c:pt>
                <c:pt idx="1">
                  <c:v>3.5076990881605128</c:v>
                </c:pt>
                <c:pt idx="2">
                  <c:v>6.3209876543209873</c:v>
                </c:pt>
                <c:pt idx="3">
                  <c:v>7.1111111111111107</c:v>
                </c:pt>
                <c:pt idx="4">
                  <c:v>8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A0-4DDA-92E0-4D786B5B0377}"/>
            </c:ext>
          </c:extLst>
        </c:ser>
        <c:ser>
          <c:idx val="4"/>
          <c:order val="4"/>
          <c:tx>
            <c:v>n = 20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drevesa!$C$70:$C$75</c:f>
              <c:numCache>
                <c:formatCode>General</c:formatCode>
                <c:ptCount val="6"/>
                <c:pt idx="0">
                  <c:v>-10</c:v>
                </c:pt>
                <c:pt idx="1">
                  <c:v>-8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</c:numCache>
            </c:numRef>
          </c:cat>
          <c:val>
            <c:numRef>
              <c:f>drevesa!$E$57:$E$62</c:f>
              <c:numCache>
                <c:formatCode>General</c:formatCode>
                <c:ptCount val="6"/>
                <c:pt idx="0">
                  <c:v>11.06477641136885</c:v>
                </c:pt>
                <c:pt idx="1">
                  <c:v>12.32834655711159</c:v>
                </c:pt>
                <c:pt idx="2">
                  <c:v>16.155124653739612</c:v>
                </c:pt>
                <c:pt idx="3">
                  <c:v>17.05263157894737</c:v>
                </c:pt>
                <c:pt idx="4">
                  <c:v>18</c:v>
                </c:pt>
                <c:pt idx="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A0-4DDA-92E0-4D786B5B0377}"/>
            </c:ext>
          </c:extLst>
        </c:ser>
        <c:ser>
          <c:idx val="5"/>
          <c:order val="5"/>
          <c:tx>
            <c:v>n = 50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drevesa!$C$70:$C$75</c:f>
              <c:numCache>
                <c:formatCode>General</c:formatCode>
                <c:ptCount val="6"/>
                <c:pt idx="0">
                  <c:v>-10</c:v>
                </c:pt>
                <c:pt idx="1">
                  <c:v>-8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</c:numCache>
            </c:numRef>
          </c:cat>
          <c:val>
            <c:numRef>
              <c:f>drevesa!$E$70:$E$75</c:f>
              <c:numCache>
                <c:formatCode>General</c:formatCode>
                <c:ptCount val="6"/>
                <c:pt idx="0">
                  <c:v>37.133308089810676</c:v>
                </c:pt>
                <c:pt idx="1">
                  <c:v>39.722470080425971</c:v>
                </c:pt>
                <c:pt idx="2">
                  <c:v>46.060807996668053</c:v>
                </c:pt>
                <c:pt idx="3">
                  <c:v>47.020408163265309</c:v>
                </c:pt>
                <c:pt idx="4">
                  <c:v>47.020833333333336</c:v>
                </c:pt>
                <c:pt idx="5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A0-4DDA-92E0-4D786B5B0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393710600"/>
        <c:axId val="393714208"/>
      </c:lineChart>
      <c:catAx>
        <c:axId val="393710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393714208"/>
        <c:crosses val="autoZero"/>
        <c:auto val="1"/>
        <c:lblAlgn val="ctr"/>
        <c:lblOffset val="100"/>
        <c:noMultiLvlLbl val="0"/>
      </c:catAx>
      <c:valAx>
        <c:axId val="39371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AZI_alpha vrednost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-* #,##0.000\ _€_-;\-* #,##0.000\ _€_-;_-* &quot;-&quot;??\ _€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393710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Maksimalne vrednosti dreves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 = 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drevesa!$C$49:$C$53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8</c:v>
                </c:pt>
              </c:numCache>
            </c:numRef>
          </c:cat>
          <c:val>
            <c:numRef>
              <c:f>drevesa!$E$10:$E$14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76-440B-979A-9601FBC20287}"/>
            </c:ext>
          </c:extLst>
        </c:ser>
        <c:ser>
          <c:idx val="1"/>
          <c:order val="1"/>
          <c:tx>
            <c:v>n = 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drevesa!$C$49:$C$53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8</c:v>
                </c:pt>
              </c:numCache>
            </c:numRef>
          </c:cat>
          <c:val>
            <c:numRef>
              <c:f>drevesa!$E$23:$E$27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1280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76-440B-979A-9601FBC20287}"/>
            </c:ext>
          </c:extLst>
        </c:ser>
        <c:ser>
          <c:idx val="2"/>
          <c:order val="2"/>
          <c:tx>
            <c:v>n = 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drevesa!$C$49:$C$53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8</c:v>
                </c:pt>
              </c:numCache>
            </c:numRef>
          </c:cat>
          <c:val>
            <c:numRef>
              <c:f>drevesa!$E$36:$E$40</c:f>
              <c:numCache>
                <c:formatCode>General</c:formatCode>
                <c:ptCount val="5"/>
                <c:pt idx="0">
                  <c:v>7</c:v>
                </c:pt>
                <c:pt idx="1">
                  <c:v>14</c:v>
                </c:pt>
                <c:pt idx="2">
                  <c:v>28</c:v>
                </c:pt>
                <c:pt idx="3">
                  <c:v>56</c:v>
                </c:pt>
                <c:pt idx="4">
                  <c:v>1792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76-440B-979A-9601FBC20287}"/>
            </c:ext>
          </c:extLst>
        </c:ser>
        <c:ser>
          <c:idx val="3"/>
          <c:order val="3"/>
          <c:tx>
            <c:v>n = 10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drevesa!$C$49:$C$53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8</c:v>
                </c:pt>
              </c:numCache>
            </c:numRef>
          </c:cat>
          <c:val>
            <c:numRef>
              <c:f>drevesa!$E$49:$E$53</c:f>
              <c:numCache>
                <c:formatCode>General</c:formatCode>
                <c:ptCount val="5"/>
                <c:pt idx="0">
                  <c:v>9</c:v>
                </c:pt>
                <c:pt idx="1">
                  <c:v>18.25</c:v>
                </c:pt>
                <c:pt idx="2">
                  <c:v>37.0625</c:v>
                </c:pt>
                <c:pt idx="3">
                  <c:v>75.390625</c:v>
                </c:pt>
                <c:pt idx="4">
                  <c:v>9142.6307335495949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76-440B-979A-9601FBC20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446774368"/>
        <c:axId val="446774696"/>
      </c:lineChart>
      <c:catAx>
        <c:axId val="446774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46774696"/>
        <c:crosses val="autoZero"/>
        <c:auto val="1"/>
        <c:lblAlgn val="ctr"/>
        <c:lblOffset val="100"/>
        <c:noMultiLvlLbl val="0"/>
      </c:catAx>
      <c:valAx>
        <c:axId val="446774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AZI_alpha vrednost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4677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 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 AZI_alpha vrednost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drevesa!$C$18:$C$26</c:f>
              <c:numCache>
                <c:formatCode>General</c:formatCode>
                <c:ptCount val="9"/>
                <c:pt idx="0">
                  <c:v>-10</c:v>
                </c:pt>
                <c:pt idx="1">
                  <c:v>-8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</c:numCache>
            </c:numRef>
          </c:cat>
          <c:val>
            <c:numRef>
              <c:f>drevesa!$D$18:$D$26</c:f>
              <c:numCache>
                <c:formatCode>General</c:formatCode>
                <c:ptCount val="9"/>
                <c:pt idx="0">
                  <c:v>4.8828125E-3</c:v>
                </c:pt>
                <c:pt idx="1">
                  <c:v>1.953125E-2</c:v>
                </c:pt>
                <c:pt idx="2">
                  <c:v>0.625</c:v>
                </c:pt>
                <c:pt idx="3" formatCode="_-* #,##0.00\ _€_-;\-* #,##0.00\ _€_-;_-* &quot;-&quot;??\ _€_-;_-@_-">
                  <c:v>1.25</c:v>
                </c:pt>
                <c:pt idx="4">
                  <c:v>2.5</c:v>
                </c:pt>
                <c:pt idx="5">
                  <c:v>5</c:v>
                </c:pt>
                <c:pt idx="6">
                  <c:v>6.25</c:v>
                </c:pt>
                <c:pt idx="7">
                  <c:v>7.8125</c:v>
                </c:pt>
                <c:pt idx="8">
                  <c:v>9.765625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0-4193-8CEF-67C1B2C28F27}"/>
            </c:ext>
          </c:extLst>
        </c:ser>
        <c:ser>
          <c:idx val="1"/>
          <c:order val="1"/>
          <c:tx>
            <c:v>max AZI_alpha vrednost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drevesa!$C$18:$C$26</c:f>
              <c:numCache>
                <c:formatCode>General</c:formatCode>
                <c:ptCount val="9"/>
                <c:pt idx="0">
                  <c:v>-10</c:v>
                </c:pt>
                <c:pt idx="1">
                  <c:v>-8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</c:numCache>
            </c:numRef>
          </c:cat>
          <c:val>
            <c:numRef>
              <c:f>drevesa!$E$18:$E$26</c:f>
              <c:numCache>
                <c:formatCode>General</c:formatCode>
                <c:ptCount val="9"/>
                <c:pt idx="0">
                  <c:v>0.53687091200000003</c:v>
                </c:pt>
                <c:pt idx="1">
                  <c:v>0.83886079999999996</c:v>
                </c:pt>
                <c:pt idx="2">
                  <c:v>2.56</c:v>
                </c:pt>
                <c:pt idx="3">
                  <c:v>3.2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A0-4193-8CEF-67C1B2C28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393135928"/>
        <c:axId val="393129040"/>
      </c:lineChart>
      <c:catAx>
        <c:axId val="393135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393129040"/>
        <c:crosses val="autoZero"/>
        <c:auto val="1"/>
        <c:lblAlgn val="ctr"/>
        <c:lblOffset val="100"/>
        <c:noMultiLvlLbl val="0"/>
      </c:catAx>
      <c:valAx>
        <c:axId val="39312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vrednosti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393135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10</xdr:col>
      <xdr:colOff>371475</xdr:colOff>
      <xdr:row>18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390525</xdr:colOff>
      <xdr:row>2</xdr:row>
      <xdr:rowOff>38100</xdr:rowOff>
    </xdr:from>
    <xdr:to>
      <xdr:col>22</xdr:col>
      <xdr:colOff>266700</xdr:colOff>
      <xdr:row>18</xdr:row>
      <xdr:rowOff>9525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609599</xdr:colOff>
      <xdr:row>20</xdr:row>
      <xdr:rowOff>85725</xdr:rowOff>
    </xdr:from>
    <xdr:to>
      <xdr:col>10</xdr:col>
      <xdr:colOff>409574</xdr:colOff>
      <xdr:row>35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419100</xdr:colOff>
      <xdr:row>20</xdr:row>
      <xdr:rowOff>9525</xdr:rowOff>
    </xdr:from>
    <xdr:to>
      <xdr:col>22</xdr:col>
      <xdr:colOff>381000</xdr:colOff>
      <xdr:row>35</xdr:row>
      <xdr:rowOff>161925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85725</xdr:colOff>
      <xdr:row>38</xdr:row>
      <xdr:rowOff>180975</xdr:rowOff>
    </xdr:from>
    <xdr:to>
      <xdr:col>10</xdr:col>
      <xdr:colOff>590550</xdr:colOff>
      <xdr:row>54</xdr:row>
      <xdr:rowOff>85726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B4:E15" totalsRowShown="0" headerRowDxfId="60" headerRowBorderDxfId="59" tableBorderDxfId="58" totalsRowBorderDxfId="57">
  <autoFilter ref="B4:E15"/>
  <tableColumns count="4">
    <tableColumn id="1" name="število vozlišč" dataDxfId="56"/>
    <tableColumn id="2" name="alpha" dataDxfId="20"/>
    <tableColumn id="3" name="min AZI_alpha vrednost" dataDxfId="19"/>
    <tableColumn id="4" name="max AZI_alpha vrednost" dataDxfId="1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B17:E28" totalsRowShown="0" headerRowBorderDxfId="55" tableBorderDxfId="54" totalsRowBorderDxfId="53">
  <autoFilter ref="B17:E28"/>
  <tableColumns count="4">
    <tableColumn id="1" name="Število vozlišč " dataDxfId="52"/>
    <tableColumn id="2" name="alpha" dataDxfId="17"/>
    <tableColumn id="3" name="min AZI:alpha vrednost" dataDxfId="16"/>
    <tableColumn id="4" name="max AZI_alpha vrednost" dataDxfId="15">
      <calculatedColumnFormula>1048576/1953125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ela3" displayName="Tabela3" ref="B30:E41" totalsRowShown="0" headerRowBorderDxfId="51" tableBorderDxfId="50" totalsRowBorderDxfId="49">
  <autoFilter ref="B30:E41"/>
  <tableColumns count="4">
    <tableColumn id="1" name="število vozlišč" dataDxfId="48"/>
    <tableColumn id="2" name="alpha" dataDxfId="14"/>
    <tableColumn id="3" name="min AZI_alpha vrednost" dataDxfId="13"/>
    <tableColumn id="4" name="max AZI_alpha vrednost" dataDxfId="12">
      <calculatedColumnFormula>60466176/40353607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ela4" displayName="Tabela4" ref="B43:E54" totalsRowShown="0" headerRowDxfId="47" headerRowBorderDxfId="46" tableBorderDxfId="45" totalsRowBorderDxfId="44">
  <autoFilter ref="B43:E54"/>
  <tableColumns count="4">
    <tableColumn id="1" name="število vozlišč" dataDxfId="43"/>
    <tableColumn id="2" name="alpha" dataDxfId="11"/>
    <tableColumn id="3" name="min AZI_alpha vrednost" dataDxfId="10"/>
    <tableColumn id="4" name="max AZI_alpha vrednost" dataDxfId="9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ela5" displayName="Tabela5" ref="B56:E67" totalsRowShown="0" headerRowBorderDxfId="42" tableBorderDxfId="41" totalsRowBorderDxfId="40">
  <autoFilter ref="B56:E67"/>
  <tableColumns count="4">
    <tableColumn id="1" name="število vozlišč" dataDxfId="39"/>
    <tableColumn id="2" name="alpha" dataDxfId="8"/>
    <tableColumn id="3" name="min AZI_alpha vrednost" dataDxfId="7"/>
    <tableColumn id="4" name="max AZI_alpha vrednost" dataDxfId="6">
      <calculatedColumnFormula>3570467226624/322687697779</calculatedColumnFormula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ela6" displayName="Tabela6" ref="B69:E80" totalsRowShown="0" headerRowDxfId="38" headerRowBorderDxfId="37" tableBorderDxfId="36" totalsRowBorderDxfId="35">
  <autoFilter ref="B69:E80"/>
  <tableColumns count="4">
    <tableColumn id="1" name="število vozlišč" dataDxfId="34"/>
    <tableColumn id="2" name="aplha" dataDxfId="5"/>
    <tableColumn id="3" name="min AZI_alpha vrednost" dataDxfId="0">
      <calculatedColumnFormula>385956717686187000/8716961002500000000</calculatedColumnFormula>
    </tableColumn>
    <tableColumn id="4" name="max AZI_alpha vrednost" dataDxfId="4">
      <calculatedColumnFormula>1.15333312980962E+23/3.10592615939352E+21</calculatedColumnFormula>
    </tableColumn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abela7" displayName="Tabela7" ref="B82:E93" totalsRowShown="0" headerRowDxfId="25" headerRowBorderDxfId="23" tableBorderDxfId="24" totalsRowBorderDxfId="22">
  <autoFilter ref="B82:E93"/>
  <tableColumns count="4">
    <tableColumn id="1" name="število vozlišč" dataDxfId="21"/>
    <tableColumn id="2" name="alpha" dataDxfId="3"/>
    <tableColumn id="3" name="min AZI_alpha vrednost" dataDxfId="2"/>
    <tableColumn id="4" name="max AZI_alpha vrednost" dataDxfId="1">
      <calculatedColumnFormula>5.12986836804338E+39/7.62303595221193E+37</calculatedColumnFormula>
    </tableColumn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B95:E106" totalsRowShown="0" headerRowDxfId="26" headerRowBorderDxfId="32" tableBorderDxfId="33" totalsRowBorderDxfId="31">
  <autoFilter ref="B95:E106"/>
  <tableColumns count="4">
    <tableColumn id="1" name="število vozlišč" dataDxfId="30"/>
    <tableColumn id="2" name="alpha" dataDxfId="29"/>
    <tableColumn id="3" name="min AZI_alpha vrednost" dataDxfId="28"/>
    <tableColumn id="4" name="max AZI_alpha vrednost" dataDxfId="2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106"/>
  <sheetViews>
    <sheetView topLeftCell="A76" workbookViewId="0">
      <selection activeCell="E106" sqref="E106"/>
    </sheetView>
  </sheetViews>
  <sheetFormatPr defaultRowHeight="15" x14ac:dyDescent="0.25"/>
  <cols>
    <col min="2" max="2" width="19.28515625" customWidth="1"/>
    <col min="3" max="3" width="18.140625" customWidth="1"/>
    <col min="4" max="4" width="26.5703125" customWidth="1"/>
    <col min="5" max="5" width="24.28515625" customWidth="1"/>
    <col min="7" max="7" width="12" bestFit="1" customWidth="1"/>
    <col min="8" max="8" width="15.5703125" bestFit="1" customWidth="1"/>
  </cols>
  <sheetData>
    <row r="4" spans="2:8" x14ac:dyDescent="0.25">
      <c r="B4" s="5" t="s">
        <v>0</v>
      </c>
      <c r="C4" s="6" t="s">
        <v>1</v>
      </c>
      <c r="D4" s="6" t="s">
        <v>2</v>
      </c>
      <c r="E4" s="7" t="s">
        <v>3</v>
      </c>
    </row>
    <row r="5" spans="2:8" x14ac:dyDescent="0.25">
      <c r="B5" s="3">
        <v>5</v>
      </c>
      <c r="C5" s="2">
        <v>-10</v>
      </c>
      <c r="D5" s="12">
        <f>1/256</f>
        <v>3.90625E-3</v>
      </c>
      <c r="E5" s="15">
        <f>59049/262144</f>
        <v>0.22525405883789063</v>
      </c>
      <c r="H5" s="1" t="s">
        <v>4</v>
      </c>
    </row>
    <row r="6" spans="2:8" x14ac:dyDescent="0.25">
      <c r="B6" s="3"/>
      <c r="C6" s="2">
        <v>-8</v>
      </c>
      <c r="D6" s="13">
        <v>0.02</v>
      </c>
      <c r="E6" s="16">
        <f>6561/16384</f>
        <v>0.40045166015625</v>
      </c>
      <c r="G6" s="1"/>
    </row>
    <row r="7" spans="2:8" x14ac:dyDescent="0.25">
      <c r="B7" s="3"/>
      <c r="C7" s="2">
        <v>-3</v>
      </c>
      <c r="D7" s="12">
        <f>1/2</f>
        <v>0.5</v>
      </c>
      <c r="E7" s="16">
        <f>27/16</f>
        <v>1.6875</v>
      </c>
    </row>
    <row r="8" spans="2:8" x14ac:dyDescent="0.25">
      <c r="B8" s="3"/>
      <c r="C8" s="2">
        <v>-2</v>
      </c>
      <c r="D8" s="12">
        <v>1</v>
      </c>
      <c r="E8" s="17">
        <f>9/4</f>
        <v>2.25</v>
      </c>
    </row>
    <row r="9" spans="2:8" x14ac:dyDescent="0.25">
      <c r="B9" s="3"/>
      <c r="C9" s="2">
        <v>-1</v>
      </c>
      <c r="D9" s="12">
        <v>2</v>
      </c>
      <c r="E9" s="16">
        <v>3</v>
      </c>
    </row>
    <row r="10" spans="2:8" x14ac:dyDescent="0.25">
      <c r="B10" s="3"/>
      <c r="C10" s="2">
        <v>0</v>
      </c>
      <c r="D10" s="12">
        <v>4</v>
      </c>
      <c r="E10" s="16">
        <v>4</v>
      </c>
    </row>
    <row r="11" spans="2:8" x14ac:dyDescent="0.25">
      <c r="B11" s="3"/>
      <c r="C11" s="2">
        <v>1</v>
      </c>
      <c r="D11" s="13">
        <f>16/3</f>
        <v>5.333333333333333</v>
      </c>
      <c r="E11" s="16">
        <v>8</v>
      </c>
    </row>
    <row r="12" spans="2:8" x14ac:dyDescent="0.25">
      <c r="B12" s="3"/>
      <c r="C12" s="2">
        <v>2</v>
      </c>
      <c r="D12" s="12">
        <f>64/9</f>
        <v>7.1111111111111107</v>
      </c>
      <c r="E12" s="16">
        <v>16</v>
      </c>
    </row>
    <row r="13" spans="2:8" x14ac:dyDescent="0.25">
      <c r="B13" s="3"/>
      <c r="C13" s="2">
        <v>3</v>
      </c>
      <c r="D13" s="12">
        <f>256/27</f>
        <v>9.481481481481481</v>
      </c>
      <c r="E13" s="16">
        <v>32</v>
      </c>
    </row>
    <row r="14" spans="2:8" x14ac:dyDescent="0.25">
      <c r="B14" s="3"/>
      <c r="C14" s="2">
        <v>8</v>
      </c>
      <c r="D14" s="12">
        <f>262144/6561</f>
        <v>39.954884926078343</v>
      </c>
      <c r="E14" s="16">
        <v>1024</v>
      </c>
    </row>
    <row r="15" spans="2:8" x14ac:dyDescent="0.25">
      <c r="B15" s="8"/>
      <c r="C15" s="9">
        <v>10</v>
      </c>
      <c r="D15" s="14">
        <f>4194304/59049</f>
        <v>71.030906535250381</v>
      </c>
      <c r="E15" s="18">
        <v>4096</v>
      </c>
    </row>
    <row r="16" spans="2:8" x14ac:dyDescent="0.25">
      <c r="D16" s="19"/>
      <c r="E16" s="19"/>
    </row>
    <row r="17" spans="2:5" x14ac:dyDescent="0.25">
      <c r="B17" s="5" t="s">
        <v>5</v>
      </c>
      <c r="C17" s="6" t="s">
        <v>1</v>
      </c>
      <c r="D17" s="20" t="s">
        <v>6</v>
      </c>
      <c r="E17" s="21" t="s">
        <v>3</v>
      </c>
    </row>
    <row r="18" spans="2:5" x14ac:dyDescent="0.25">
      <c r="B18" s="3">
        <v>6</v>
      </c>
      <c r="C18" s="2">
        <v>-10</v>
      </c>
      <c r="D18" s="12">
        <f>5/1024</f>
        <v>4.8828125E-3</v>
      </c>
      <c r="E18" s="22">
        <f t="shared" ref="E18" si="0">1048576/1953125</f>
        <v>0.53687091200000003</v>
      </c>
    </row>
    <row r="19" spans="2:5" x14ac:dyDescent="0.25">
      <c r="B19" s="3"/>
      <c r="C19" s="2">
        <v>-8</v>
      </c>
      <c r="D19" s="12">
        <f>5/256</f>
        <v>1.953125E-2</v>
      </c>
      <c r="E19" s="22">
        <f>65536/78125</f>
        <v>0.83886079999999996</v>
      </c>
    </row>
    <row r="20" spans="2:5" x14ac:dyDescent="0.25">
      <c r="B20" s="3"/>
      <c r="C20" s="2">
        <v>-3</v>
      </c>
      <c r="D20" s="12">
        <f>5/8</f>
        <v>0.625</v>
      </c>
      <c r="E20" s="22">
        <f>64/25</f>
        <v>2.56</v>
      </c>
    </row>
    <row r="21" spans="2:5" x14ac:dyDescent="0.25">
      <c r="B21" s="3"/>
      <c r="C21" s="2">
        <v>-2</v>
      </c>
      <c r="D21" s="13">
        <f>5/4</f>
        <v>1.25</v>
      </c>
      <c r="E21" s="22">
        <f>16/5</f>
        <v>3.2</v>
      </c>
    </row>
    <row r="22" spans="2:5" x14ac:dyDescent="0.25">
      <c r="B22" s="3"/>
      <c r="C22" s="2">
        <v>-1</v>
      </c>
      <c r="D22" s="12">
        <f>5/2</f>
        <v>2.5</v>
      </c>
      <c r="E22" s="22">
        <f>4</f>
        <v>4</v>
      </c>
    </row>
    <row r="23" spans="2:5" x14ac:dyDescent="0.25">
      <c r="B23" s="3"/>
      <c r="C23" s="2">
        <v>0</v>
      </c>
      <c r="D23" s="12">
        <v>5</v>
      </c>
      <c r="E23" s="22">
        <v>5</v>
      </c>
    </row>
    <row r="24" spans="2:5" x14ac:dyDescent="0.25">
      <c r="B24" s="3"/>
      <c r="C24" s="2">
        <v>1</v>
      </c>
      <c r="D24" s="12">
        <f>25/4</f>
        <v>6.25</v>
      </c>
      <c r="E24" s="22">
        <v>10</v>
      </c>
    </row>
    <row r="25" spans="2:5" x14ac:dyDescent="0.25">
      <c r="B25" s="3"/>
      <c r="C25" s="2">
        <v>2</v>
      </c>
      <c r="D25" s="12">
        <f>125/16</f>
        <v>7.8125</v>
      </c>
      <c r="E25" s="22">
        <v>20</v>
      </c>
    </row>
    <row r="26" spans="2:5" x14ac:dyDescent="0.25">
      <c r="B26" s="3"/>
      <c r="C26" s="2">
        <v>3</v>
      </c>
      <c r="D26" s="12">
        <f>625/64</f>
        <v>9.765625</v>
      </c>
      <c r="E26" s="22">
        <v>40</v>
      </c>
    </row>
    <row r="27" spans="2:5" x14ac:dyDescent="0.25">
      <c r="B27" s="3"/>
      <c r="C27" s="2">
        <v>8</v>
      </c>
      <c r="D27" s="12">
        <f>1953125/65536</f>
        <v>29.802322387695313</v>
      </c>
      <c r="E27" s="22">
        <v>1280</v>
      </c>
    </row>
    <row r="28" spans="2:5" x14ac:dyDescent="0.25">
      <c r="B28" s="8"/>
      <c r="C28" s="9">
        <v>10</v>
      </c>
      <c r="D28" s="14">
        <f>48828125/1048576</f>
        <v>46.566128730773926</v>
      </c>
      <c r="E28" s="22">
        <v>5120</v>
      </c>
    </row>
    <row r="29" spans="2:5" x14ac:dyDescent="0.25">
      <c r="B29" s="8"/>
      <c r="C29" s="9"/>
      <c r="D29" s="14"/>
      <c r="E29" s="18"/>
    </row>
    <row r="30" spans="2:5" x14ac:dyDescent="0.25">
      <c r="B30" s="5" t="s">
        <v>0</v>
      </c>
      <c r="C30" s="6" t="s">
        <v>1</v>
      </c>
      <c r="D30" s="20" t="s">
        <v>2</v>
      </c>
      <c r="E30" s="21" t="s">
        <v>3</v>
      </c>
    </row>
    <row r="31" spans="2:5" x14ac:dyDescent="0.25">
      <c r="B31" s="3">
        <v>8</v>
      </c>
      <c r="C31" s="2">
        <v>-10</v>
      </c>
      <c r="D31" s="12">
        <f>7/1024</f>
        <v>6.8359375E-3</v>
      </c>
      <c r="E31" s="22">
        <f t="shared" ref="E31" si="1">60466176/40353607</f>
        <v>1.4984082092091544</v>
      </c>
    </row>
    <row r="32" spans="2:5" x14ac:dyDescent="0.25">
      <c r="B32" s="3"/>
      <c r="C32" s="2">
        <v>-8</v>
      </c>
      <c r="D32" s="12">
        <f>7/256</f>
        <v>2.734375E-2</v>
      </c>
      <c r="E32" s="22">
        <f>1679616/823543</f>
        <v>2.0395000625346826</v>
      </c>
    </row>
    <row r="33" spans="2:5" x14ac:dyDescent="0.25">
      <c r="B33" s="3"/>
      <c r="C33" s="2">
        <v>-3</v>
      </c>
      <c r="D33" s="12">
        <f>7/8</f>
        <v>0.875</v>
      </c>
      <c r="E33" s="22">
        <f>216/49</f>
        <v>4.408163265306122</v>
      </c>
    </row>
    <row r="34" spans="2:5" x14ac:dyDescent="0.25">
      <c r="B34" s="3"/>
      <c r="C34" s="2">
        <v>-2</v>
      </c>
      <c r="D34" s="12">
        <f>7/4</f>
        <v>1.75</v>
      </c>
      <c r="E34" s="22">
        <f>36/7</f>
        <v>5.1428571428571432</v>
      </c>
    </row>
    <row r="35" spans="2:5" x14ac:dyDescent="0.25">
      <c r="B35" s="3"/>
      <c r="C35" s="2">
        <v>-1</v>
      </c>
      <c r="D35" s="12">
        <f>7/2</f>
        <v>3.5</v>
      </c>
      <c r="E35" s="22">
        <v>6</v>
      </c>
    </row>
    <row r="36" spans="2:5" x14ac:dyDescent="0.25">
      <c r="B36" s="3"/>
      <c r="C36" s="2">
        <v>0</v>
      </c>
      <c r="D36" s="12">
        <v>7</v>
      </c>
      <c r="E36" s="22">
        <v>7</v>
      </c>
    </row>
    <row r="37" spans="2:5" x14ac:dyDescent="0.25">
      <c r="B37" s="3"/>
      <c r="C37" s="2">
        <v>1</v>
      </c>
      <c r="D37" s="12">
        <f>49/6</f>
        <v>8.1666666666666661</v>
      </c>
      <c r="E37" s="22">
        <v>14</v>
      </c>
    </row>
    <row r="38" spans="2:5" x14ac:dyDescent="0.25">
      <c r="B38" s="3"/>
      <c r="C38" s="2">
        <v>2</v>
      </c>
      <c r="D38" s="12">
        <f>343/36</f>
        <v>9.5277777777777786</v>
      </c>
      <c r="E38" s="22">
        <v>28</v>
      </c>
    </row>
    <row r="39" spans="2:5" x14ac:dyDescent="0.25">
      <c r="B39" s="3"/>
      <c r="C39" s="2">
        <v>3</v>
      </c>
      <c r="D39" s="12">
        <f>2401/216</f>
        <v>11.11574074074074</v>
      </c>
      <c r="E39" s="22">
        <v>56</v>
      </c>
    </row>
    <row r="40" spans="2:5" x14ac:dyDescent="0.25">
      <c r="B40" s="3"/>
      <c r="C40" s="2">
        <v>8</v>
      </c>
      <c r="D40" s="12">
        <f>40353607/1679616</f>
        <v>24.025495708542906</v>
      </c>
      <c r="E40" s="22">
        <v>1792</v>
      </c>
    </row>
    <row r="41" spans="2:5" x14ac:dyDescent="0.25">
      <c r="B41" s="8"/>
      <c r="C41" s="9">
        <v>10</v>
      </c>
      <c r="D41" s="14">
        <f>22338253787/10077696</f>
        <v>2216.6032580264377</v>
      </c>
      <c r="E41" s="23">
        <f>1080033280/59049</f>
        <v>18290.458432826974</v>
      </c>
    </row>
    <row r="42" spans="2:5" x14ac:dyDescent="0.25">
      <c r="D42" s="19"/>
      <c r="E42" s="19"/>
    </row>
    <row r="43" spans="2:5" x14ac:dyDescent="0.25">
      <c r="B43" s="5" t="s">
        <v>0</v>
      </c>
      <c r="C43" s="6" t="s">
        <v>1</v>
      </c>
      <c r="D43" s="20" t="s">
        <v>2</v>
      </c>
      <c r="E43" s="21" t="s">
        <v>3</v>
      </c>
    </row>
    <row r="44" spans="2:5" x14ac:dyDescent="0.25">
      <c r="B44" s="3">
        <v>10</v>
      </c>
      <c r="C44" s="2">
        <v>-10</v>
      </c>
      <c r="D44" s="12">
        <f>3621002129/446308403328</f>
        <v>8.1132286598217182E-3</v>
      </c>
      <c r="E44" s="16">
        <f>1073741824/387420489</f>
        <v>2.7715153289169483</v>
      </c>
    </row>
    <row r="45" spans="2:5" x14ac:dyDescent="0.25">
      <c r="B45" s="3"/>
      <c r="C45" s="2">
        <v>-8</v>
      </c>
      <c r="D45" s="12">
        <f>45143873/1377495072</f>
        <v>3.2772438840347445E-2</v>
      </c>
      <c r="E45" s="16">
        <f>16777216/4782969</f>
        <v>3.5076990881605128</v>
      </c>
    </row>
    <row r="46" spans="2:5" x14ac:dyDescent="0.25">
      <c r="B46" s="3"/>
      <c r="C46" s="2">
        <v>-3</v>
      </c>
      <c r="D46" s="12">
        <f>793/729</f>
        <v>1.0877914951989025</v>
      </c>
      <c r="E46" s="16">
        <f>512/81</f>
        <v>6.3209876543209873</v>
      </c>
    </row>
    <row r="47" spans="2:5" x14ac:dyDescent="0.25">
      <c r="B47" s="3"/>
      <c r="C47" s="2">
        <v>-2</v>
      </c>
      <c r="D47" s="12">
        <f>178/81</f>
        <v>2.1975308641975309</v>
      </c>
      <c r="E47" s="16">
        <f>64/9</f>
        <v>7.1111111111111107</v>
      </c>
    </row>
    <row r="48" spans="2:5" x14ac:dyDescent="0.25">
      <c r="B48" s="3"/>
      <c r="C48" s="2">
        <v>-1</v>
      </c>
      <c r="D48" s="12">
        <f>40/9</f>
        <v>4.4444444444444446</v>
      </c>
      <c r="E48" s="16">
        <f>8</f>
        <v>8</v>
      </c>
    </row>
    <row r="49" spans="2:7" x14ac:dyDescent="0.25">
      <c r="B49" s="3"/>
      <c r="C49" s="2">
        <v>0</v>
      </c>
      <c r="D49" s="12">
        <v>9</v>
      </c>
      <c r="E49" s="16">
        <v>9</v>
      </c>
    </row>
    <row r="50" spans="2:7" x14ac:dyDescent="0.25">
      <c r="B50" s="3"/>
      <c r="C50" s="2">
        <v>1</v>
      </c>
      <c r="D50" s="12">
        <v>13</v>
      </c>
      <c r="E50" s="16">
        <f>73/4</f>
        <v>18.25</v>
      </c>
    </row>
    <row r="51" spans="2:7" x14ac:dyDescent="0.25">
      <c r="B51" s="3"/>
      <c r="C51" s="2">
        <v>2</v>
      </c>
      <c r="D51" s="12">
        <f>729/64</f>
        <v>11.390625</v>
      </c>
      <c r="E51" s="16">
        <f>593/16</f>
        <v>37.0625</v>
      </c>
    </row>
    <row r="52" spans="2:7" x14ac:dyDescent="0.25">
      <c r="B52" s="3"/>
      <c r="C52" s="2">
        <v>3</v>
      </c>
      <c r="D52" s="12">
        <f>6561/512</f>
        <v>12.814453125</v>
      </c>
      <c r="E52" s="16">
        <f>4825/64</f>
        <v>75.390625</v>
      </c>
    </row>
    <row r="53" spans="2:7" x14ac:dyDescent="0.25">
      <c r="B53" s="3"/>
      <c r="C53" s="2">
        <v>8</v>
      </c>
      <c r="D53" s="12">
        <f>20273924395/35831808</f>
        <v>565.80802160471501</v>
      </c>
      <c r="E53" s="16">
        <f>153387890625/16777216</f>
        <v>9142.6307335495949</v>
      </c>
    </row>
    <row r="54" spans="2:7" x14ac:dyDescent="0.25">
      <c r="B54" s="8"/>
      <c r="C54" s="9">
        <v>10</v>
      </c>
      <c r="D54" s="14">
        <f>11034324864715/5159780352</f>
        <v>2138.5260828860569</v>
      </c>
      <c r="E54" s="18">
        <f>95447431640625/1073741824</f>
        <v>88892.347775981762</v>
      </c>
    </row>
    <row r="55" spans="2:7" x14ac:dyDescent="0.25">
      <c r="B55" s="8"/>
      <c r="C55" s="9"/>
      <c r="D55" s="14"/>
      <c r="E55" s="18"/>
    </row>
    <row r="56" spans="2:7" x14ac:dyDescent="0.25">
      <c r="B56" s="5" t="s">
        <v>0</v>
      </c>
      <c r="C56" s="6" t="s">
        <v>1</v>
      </c>
      <c r="D56" s="20" t="s">
        <v>2</v>
      </c>
      <c r="E56" s="21" t="s">
        <v>3</v>
      </c>
    </row>
    <row r="57" spans="2:7" x14ac:dyDescent="0.25">
      <c r="B57" s="3">
        <v>20</v>
      </c>
      <c r="C57" s="2">
        <v>-10</v>
      </c>
      <c r="D57">
        <f>332251897/20639121408</f>
        <v>1.6098160887372596E-2</v>
      </c>
      <c r="E57" s="22">
        <f t="shared" ref="E57" si="2">3570467226624/322687697779</f>
        <v>11.06477641136885</v>
      </c>
      <c r="G57" t="s">
        <v>12</v>
      </c>
    </row>
    <row r="58" spans="2:7" x14ac:dyDescent="0.25">
      <c r="B58" s="3"/>
      <c r="C58" s="2">
        <v>-8</v>
      </c>
      <c r="D58">
        <f>712809679/11019960576</f>
        <v>6.4683505361389781E-2</v>
      </c>
      <c r="E58" s="22">
        <f>11019960576/893871739</f>
        <v>12.32834655711159</v>
      </c>
      <c r="G58" t="s">
        <v>8</v>
      </c>
    </row>
    <row r="59" spans="2:7" x14ac:dyDescent="0.25">
      <c r="B59" s="3"/>
      <c r="C59" s="2">
        <v>-3</v>
      </c>
      <c r="D59" s="1">
        <f>1277/576</f>
        <v>2.2170138888888888</v>
      </c>
      <c r="E59" s="22">
        <f>5832/361</f>
        <v>16.155124653739612</v>
      </c>
    </row>
    <row r="60" spans="2:7" x14ac:dyDescent="0.25">
      <c r="B60" s="3"/>
      <c r="C60" s="2">
        <v>-2</v>
      </c>
      <c r="D60" s="16">
        <f>217/48</f>
        <v>4.520833333333333</v>
      </c>
      <c r="E60" s="22">
        <f>324/19</f>
        <v>17.05263157894737</v>
      </c>
    </row>
    <row r="61" spans="2:7" x14ac:dyDescent="0.25">
      <c r="B61" s="3"/>
      <c r="C61" s="2">
        <v>-1</v>
      </c>
      <c r="D61" s="16">
        <f>37/4</f>
        <v>9.25</v>
      </c>
      <c r="E61" s="22">
        <v>18</v>
      </c>
    </row>
    <row r="62" spans="2:7" x14ac:dyDescent="0.25">
      <c r="B62" s="3"/>
      <c r="C62" s="2">
        <v>0</v>
      </c>
      <c r="D62" s="16">
        <v>19</v>
      </c>
      <c r="E62" s="22">
        <v>19</v>
      </c>
    </row>
    <row r="63" spans="2:7" x14ac:dyDescent="0.25">
      <c r="B63" s="3"/>
      <c r="C63" s="2">
        <v>1</v>
      </c>
      <c r="D63" s="16">
        <f>293/10</f>
        <v>29.3</v>
      </c>
      <c r="E63" s="22">
        <f>196/5</f>
        <v>39.200000000000003</v>
      </c>
    </row>
    <row r="64" spans="2:7" x14ac:dyDescent="0.25">
      <c r="B64" s="3"/>
      <c r="C64" s="2">
        <v>2</v>
      </c>
      <c r="D64" s="16">
        <f>2105/72</f>
        <v>29.236111111111111</v>
      </c>
      <c r="E64" s="22">
        <f>16153/196</f>
        <v>82.413265306122454</v>
      </c>
    </row>
    <row r="65" spans="2:7" x14ac:dyDescent="0.25">
      <c r="B65" s="3"/>
      <c r="C65" s="2">
        <v>3</v>
      </c>
      <c r="D65" s="16">
        <f>205993/5184</f>
        <v>39.736304012345677</v>
      </c>
      <c r="E65" s="22">
        <f>4888/27</f>
        <v>181.03703703703704</v>
      </c>
    </row>
    <row r="66" spans="2:7" x14ac:dyDescent="0.25">
      <c r="B66" s="3"/>
      <c r="C66" s="2">
        <v>8</v>
      </c>
      <c r="D66" s="16">
        <f>5551280190290100/10030613004288</f>
        <v>553.43379192447924</v>
      </c>
      <c r="E66" s="22">
        <f>39064300000000/43046721</f>
        <v>907486.07774329663</v>
      </c>
    </row>
    <row r="67" spans="2:7" x14ac:dyDescent="0.25">
      <c r="B67" s="8"/>
      <c r="C67" s="9">
        <v>10</v>
      </c>
      <c r="D67" s="18">
        <f>411350625013610000/98415000000000</f>
        <v>4179.7553727948989</v>
      </c>
      <c r="E67" s="23">
        <f>97656430000000000/3486784401</f>
        <v>28007590.596078269</v>
      </c>
    </row>
    <row r="68" spans="2:7" x14ac:dyDescent="0.25">
      <c r="B68" s="8"/>
      <c r="C68" s="9"/>
      <c r="D68" s="14"/>
      <c r="E68" s="18"/>
    </row>
    <row r="69" spans="2:7" x14ac:dyDescent="0.25">
      <c r="B69" s="5" t="s">
        <v>0</v>
      </c>
      <c r="C69" s="6" t="s">
        <v>7</v>
      </c>
      <c r="D69" s="20" t="s">
        <v>2</v>
      </c>
      <c r="E69" s="21" t="s">
        <v>3</v>
      </c>
    </row>
    <row r="70" spans="2:7" x14ac:dyDescent="0.25">
      <c r="B70" s="3">
        <v>50</v>
      </c>
      <c r="C70" s="2">
        <v>-10</v>
      </c>
      <c r="D70">
        <f t="shared" ref="D70" si="3">385956717686187000/8716961002500000000</f>
        <v>4.4276522239286804E-2</v>
      </c>
      <c r="E70" s="22">
        <f t="shared" ref="E70" si="4">1.15333312980962E+23/3.10592615939352E+21</f>
        <v>37.133308089810676</v>
      </c>
    </row>
    <row r="71" spans="2:7" x14ac:dyDescent="0.25">
      <c r="B71" s="3"/>
      <c r="C71" s="2">
        <v>-8</v>
      </c>
      <c r="D71" s="12">
        <f>912582521519243/4304672100000000</f>
        <v>0.21199814999131827</v>
      </c>
      <c r="E71" s="22">
        <f>1119350623731110/28179280429056</f>
        <v>39.722470080425971</v>
      </c>
      <c r="G71" t="s">
        <v>11</v>
      </c>
    </row>
    <row r="72" spans="2:7" x14ac:dyDescent="0.25">
      <c r="B72" s="3"/>
      <c r="C72" s="2">
        <v>-3</v>
      </c>
      <c r="D72" s="12">
        <f>87089/14400</f>
        <v>6.0478472222222219</v>
      </c>
      <c r="E72" s="22">
        <f>110592/2401</f>
        <v>46.060807996668053</v>
      </c>
      <c r="G72" t="s">
        <v>10</v>
      </c>
    </row>
    <row r="73" spans="2:7" x14ac:dyDescent="0.25">
      <c r="B73" s="3"/>
      <c r="C73" s="2">
        <v>-2</v>
      </c>
      <c r="D73" s="12">
        <f>5191/432</f>
        <v>12.016203703703704</v>
      </c>
      <c r="E73" s="22">
        <f>2304/49</f>
        <v>47.020408163265309</v>
      </c>
    </row>
    <row r="74" spans="2:7" x14ac:dyDescent="0.25">
      <c r="B74" s="3"/>
      <c r="C74" s="2">
        <v>-1</v>
      </c>
      <c r="D74" s="12">
        <f>581/24</f>
        <v>24.208333333333332</v>
      </c>
      <c r="E74" s="22">
        <f>2257/48</f>
        <v>47.020833333333336</v>
      </c>
    </row>
    <row r="75" spans="2:7" x14ac:dyDescent="0.25">
      <c r="B75" s="3"/>
      <c r="C75" s="2">
        <v>0</v>
      </c>
      <c r="D75" s="12">
        <v>49</v>
      </c>
      <c r="E75" s="22">
        <v>49</v>
      </c>
    </row>
    <row r="76" spans="2:7" x14ac:dyDescent="0.25">
      <c r="B76" s="3"/>
      <c r="C76" s="2">
        <v>1</v>
      </c>
      <c r="D76" s="12">
        <f>9791/120</f>
        <v>81.591666666666669</v>
      </c>
      <c r="E76" s="22">
        <f>7501/72</f>
        <v>104.18055555555556</v>
      </c>
    </row>
    <row r="77" spans="2:7" x14ac:dyDescent="0.25">
      <c r="B77" s="3"/>
      <c r="C77" s="2">
        <v>2</v>
      </c>
      <c r="D77" s="12">
        <f>747841/7056</f>
        <v>105.98653628117914</v>
      </c>
      <c r="E77" s="22">
        <f>106948/441</f>
        <v>242.5124716553288</v>
      </c>
    </row>
    <row r="78" spans="2:7" x14ac:dyDescent="0.25">
      <c r="B78" s="3"/>
      <c r="C78" s="2">
        <v>3</v>
      </c>
      <c r="D78" s="12">
        <f>17477483/145800</f>
        <v>119.87299725651577</v>
      </c>
      <c r="E78" s="22">
        <f>250140625/110592</f>
        <v>2261.8329083478011</v>
      </c>
    </row>
    <row r="79" spans="2:7" x14ac:dyDescent="0.25">
      <c r="B79" s="3"/>
      <c r="C79" s="2">
        <v>8</v>
      </c>
      <c r="D79" s="12">
        <f>167357049266647000/103281621295104</f>
        <v>1620.3952568527357</v>
      </c>
      <c r="E79" s="22">
        <f>2.32830662403869E+22/28179280429056</f>
        <v>826247721.22922802</v>
      </c>
    </row>
    <row r="80" spans="2:7" x14ac:dyDescent="0.25">
      <c r="B80" s="8"/>
      <c r="C80" s="9">
        <v>10</v>
      </c>
      <c r="D80" s="14">
        <f>6.99725798826875E+26/1.12060185615568E+23</f>
        <v>6244.1963216743534</v>
      </c>
      <c r="E80" s="23">
        <f>9.09494702241678E+27/64925062108545000</f>
        <v>140083763142.36539</v>
      </c>
    </row>
    <row r="81" spans="2:7" x14ac:dyDescent="0.25">
      <c r="B81" s="8"/>
      <c r="C81" s="9"/>
      <c r="D81" s="14"/>
      <c r="E81" s="18"/>
    </row>
    <row r="82" spans="2:7" x14ac:dyDescent="0.25">
      <c r="B82" s="5" t="s">
        <v>0</v>
      </c>
      <c r="C82" s="6" t="s">
        <v>1</v>
      </c>
      <c r="D82" s="20" t="s">
        <v>2</v>
      </c>
      <c r="E82" s="21" t="s">
        <v>3</v>
      </c>
    </row>
    <row r="83" spans="2:7" x14ac:dyDescent="0.25">
      <c r="B83" s="3">
        <v>100</v>
      </c>
      <c r="C83" s="2">
        <v>-10</v>
      </c>
      <c r="D83" s="12">
        <f>252045522628471/914039610015744</f>
        <v>0.27574901554225817</v>
      </c>
      <c r="E83" s="24">
        <f>81707280688754600000/913517247483640000</f>
        <v>89.442515632654079</v>
      </c>
      <c r="F83" s="11"/>
    </row>
    <row r="84" spans="2:7" x14ac:dyDescent="0.25">
      <c r="B84" s="3"/>
      <c r="C84" s="2">
        <v>-8</v>
      </c>
      <c r="D84" s="12">
        <f>966049425217357000/1101996057600000000</f>
        <v>0.87663600840939804</v>
      </c>
      <c r="E84" s="22">
        <f>2.42192455529184E+30/3.227550665472E+28</f>
        <v>75.039087107178077</v>
      </c>
      <c r="G84" t="s">
        <v>9</v>
      </c>
    </row>
    <row r="85" spans="2:7" x14ac:dyDescent="0.25">
      <c r="B85" s="3"/>
      <c r="C85" s="2">
        <v>-3</v>
      </c>
      <c r="D85" s="12">
        <f>205776901/15552000</f>
        <v>13.231539416152263</v>
      </c>
      <c r="E85" s="22">
        <f>318014053337/3796416000</f>
        <v>83.766914199339581</v>
      </c>
      <c r="G85" t="s">
        <v>15</v>
      </c>
    </row>
    <row r="86" spans="2:7" x14ac:dyDescent="0.25">
      <c r="B86" s="3"/>
      <c r="C86" s="2">
        <v>-2</v>
      </c>
      <c r="D86" s="12">
        <f>131545/5184</f>
        <v>25.375192901234566</v>
      </c>
      <c r="E86" s="22">
        <f>56909680063/657922500</f>
        <v>86.499063435283034</v>
      </c>
    </row>
    <row r="87" spans="2:7" x14ac:dyDescent="0.25">
      <c r="B87" s="3"/>
      <c r="C87" s="2">
        <v>-1</v>
      </c>
      <c r="D87" s="12">
        <f>199/4</f>
        <v>49.75</v>
      </c>
      <c r="E87" s="22">
        <f>3936617/43554</f>
        <v>90.38474078155852</v>
      </c>
    </row>
    <row r="88" spans="2:7" x14ac:dyDescent="0.25">
      <c r="B88" s="3"/>
      <c r="C88" s="2">
        <v>0</v>
      </c>
      <c r="D88" s="12">
        <v>99</v>
      </c>
      <c r="E88" s="22">
        <v>99</v>
      </c>
    </row>
    <row r="89" spans="2:7" x14ac:dyDescent="0.25">
      <c r="B89" s="3"/>
      <c r="C89" s="2">
        <v>1</v>
      </c>
      <c r="D89" s="12">
        <f>148751/840</f>
        <v>177.0845238095238</v>
      </c>
      <c r="E89" s="19">
        <f>1862909/8568</f>
        <v>217.42635387488329</v>
      </c>
    </row>
    <row r="90" spans="2:7" x14ac:dyDescent="0.25">
      <c r="B90" s="3"/>
      <c r="C90" s="2">
        <v>2</v>
      </c>
      <c r="D90" s="12">
        <f>781181/3150</f>
        <v>247.99396825396826</v>
      </c>
      <c r="E90" s="22">
        <f>7630470539/10916640</f>
        <v>698.97610794163768</v>
      </c>
    </row>
    <row r="91" spans="2:7" x14ac:dyDescent="0.25">
      <c r="B91" s="3"/>
      <c r="C91" s="2">
        <v>3</v>
      </c>
      <c r="D91" s="12">
        <f>395793345544207/1183333536000</f>
        <v>334.47319247124506</v>
      </c>
      <c r="E91" s="19">
        <f>1965375000/117649</f>
        <v>16705.411860704298</v>
      </c>
    </row>
    <row r="92" spans="2:7" x14ac:dyDescent="0.25">
      <c r="B92" s="3"/>
      <c r="C92" s="2">
        <v>8</v>
      </c>
      <c r="D92" s="12">
        <f>4.96363559245067E+31/9.3301736415742E+27</f>
        <v>5319.9820101238747</v>
      </c>
      <c r="E92" s="22">
        <f>1.56996354785486E+32/1.6815125390625E+21</f>
        <v>93366151686.871613</v>
      </c>
    </row>
    <row r="93" spans="2:7" x14ac:dyDescent="0.25">
      <c r="B93" s="8"/>
      <c r="C93" s="9">
        <v>10</v>
      </c>
      <c r="D93" s="14">
        <f>1.42720372095418E+47/9.8206916069205E+42</f>
        <v>14532.619270403015</v>
      </c>
      <c r="E93" s="23">
        <f>4.94125926376664E+77/2.32784507021055E+64</f>
        <v>21226753133187.297</v>
      </c>
    </row>
    <row r="94" spans="2:7" x14ac:dyDescent="0.25">
      <c r="B94" s="8"/>
      <c r="C94" s="9"/>
      <c r="D94" s="9"/>
      <c r="E94" s="10"/>
    </row>
    <row r="95" spans="2:7" x14ac:dyDescent="0.25">
      <c r="B95" s="5" t="s">
        <v>0</v>
      </c>
      <c r="C95" s="6" t="s">
        <v>1</v>
      </c>
      <c r="D95" s="6" t="s">
        <v>2</v>
      </c>
      <c r="E95" s="7" t="s">
        <v>3</v>
      </c>
    </row>
    <row r="96" spans="2:7" x14ac:dyDescent="0.25">
      <c r="B96" s="3">
        <v>1000</v>
      </c>
      <c r="C96" s="2">
        <v>-10</v>
      </c>
      <c r="D96" s="2">
        <f>2.54181248847818E+33/3.570467226624E+32</f>
        <v>7.1189912332049374</v>
      </c>
      <c r="E96" s="4"/>
    </row>
    <row r="97" spans="2:7" x14ac:dyDescent="0.25">
      <c r="B97" s="3"/>
      <c r="C97" s="2">
        <v>-8</v>
      </c>
      <c r="D97" s="2"/>
      <c r="E97" s="4"/>
    </row>
    <row r="98" spans="2:7" x14ac:dyDescent="0.25">
      <c r="B98" s="3"/>
      <c r="C98" s="2">
        <v>-3</v>
      </c>
      <c r="D98" s="2"/>
      <c r="E98" s="4"/>
      <c r="G98" t="s">
        <v>13</v>
      </c>
    </row>
    <row r="99" spans="2:7" x14ac:dyDescent="0.25">
      <c r="B99" s="3"/>
      <c r="C99" s="2">
        <v>-2</v>
      </c>
      <c r="D99" s="2"/>
      <c r="E99" s="4"/>
      <c r="G99" t="s">
        <v>14</v>
      </c>
    </row>
    <row r="100" spans="2:7" x14ac:dyDescent="0.25">
      <c r="B100" s="3"/>
      <c r="C100" s="2">
        <v>-1</v>
      </c>
      <c r="D100" s="2"/>
      <c r="E100" s="4"/>
    </row>
    <row r="101" spans="2:7" x14ac:dyDescent="0.25">
      <c r="B101" s="3"/>
      <c r="C101" s="2">
        <v>0</v>
      </c>
      <c r="D101" s="2"/>
      <c r="E101" s="4"/>
    </row>
    <row r="102" spans="2:7" x14ac:dyDescent="0.25">
      <c r="B102" s="3"/>
      <c r="C102" s="2">
        <v>1</v>
      </c>
      <c r="D102" s="2"/>
      <c r="E102" s="4"/>
    </row>
    <row r="103" spans="2:7" x14ac:dyDescent="0.25">
      <c r="B103" s="3"/>
      <c r="C103" s="2">
        <v>2</v>
      </c>
      <c r="D103" s="2"/>
      <c r="E103" s="4"/>
    </row>
    <row r="104" spans="2:7" x14ac:dyDescent="0.25">
      <c r="B104" s="3"/>
      <c r="C104" s="2">
        <v>3</v>
      </c>
      <c r="D104" s="2"/>
      <c r="E104" s="4"/>
    </row>
    <row r="105" spans="2:7" x14ac:dyDescent="0.25">
      <c r="B105" s="3"/>
      <c r="C105" s="2">
        <v>8</v>
      </c>
      <c r="D105" s="2"/>
      <c r="E105" s="4"/>
    </row>
    <row r="106" spans="2:7" x14ac:dyDescent="0.25">
      <c r="B106" s="8"/>
      <c r="C106" s="9">
        <v>10</v>
      </c>
      <c r="D106" s="9"/>
      <c r="E106" s="10"/>
    </row>
  </sheetData>
  <pageMargins left="0.7" right="0.7" top="0.75" bottom="0.75" header="0.3" footer="0.3"/>
  <pageSetup orientation="portrait" horizontalDpi="4294967293" verticalDpi="4294967293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9" sqref="L2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9"/>
  <sheetViews>
    <sheetView tabSelected="1" workbookViewId="0">
      <selection activeCell="J20" sqref="J20"/>
    </sheetView>
  </sheetViews>
  <sheetFormatPr defaultRowHeight="15" x14ac:dyDescent="0.25"/>
  <cols>
    <col min="2" max="2" width="13.5703125" customWidth="1"/>
    <col min="3" max="3" width="11.85546875" customWidth="1"/>
    <col min="4" max="4" width="10.85546875" customWidth="1"/>
    <col min="5" max="5" width="11.28515625" customWidth="1"/>
  </cols>
  <sheetData>
    <row r="3" spans="2:8" x14ac:dyDescent="0.25">
      <c r="B3" s="27" t="s">
        <v>20</v>
      </c>
    </row>
    <row r="4" spans="2:8" x14ac:dyDescent="0.25">
      <c r="B4" s="26" t="s">
        <v>19</v>
      </c>
      <c r="C4" s="26" t="s">
        <v>18</v>
      </c>
      <c r="D4" s="26" t="s">
        <v>17</v>
      </c>
      <c r="E4" s="26" t="s">
        <v>16</v>
      </c>
    </row>
    <row r="5" spans="2:8" x14ac:dyDescent="0.25">
      <c r="B5" s="26">
        <v>4</v>
      </c>
      <c r="C5" s="25">
        <v>32</v>
      </c>
      <c r="D5" s="25">
        <f>219/8</f>
        <v>27.375</v>
      </c>
      <c r="E5" s="2">
        <v>2</v>
      </c>
    </row>
    <row r="6" spans="2:8" x14ac:dyDescent="0.25">
      <c r="B6" s="26">
        <v>5</v>
      </c>
      <c r="C6" s="25">
        <v>40</v>
      </c>
      <c r="D6" s="25">
        <f>776/27</f>
        <v>28.74074074074074</v>
      </c>
      <c r="E6" s="2">
        <v>5</v>
      </c>
    </row>
    <row r="7" spans="2:8" x14ac:dyDescent="0.25">
      <c r="B7" s="26">
        <v>6</v>
      </c>
      <c r="C7" s="25">
        <v>48</v>
      </c>
      <c r="D7" s="25">
        <f>1911/64</f>
        <v>29.859375</v>
      </c>
      <c r="E7" s="2">
        <v>13</v>
      </c>
    </row>
    <row r="8" spans="2:8" x14ac:dyDescent="0.25">
      <c r="B8" s="26">
        <v>7</v>
      </c>
      <c r="C8" s="25">
        <f>3801/64</f>
        <v>59.390625</v>
      </c>
      <c r="D8" s="25">
        <f>3864/125</f>
        <v>30.911999999999999</v>
      </c>
      <c r="E8" s="2">
        <v>33</v>
      </c>
    </row>
    <row r="9" spans="2:8" x14ac:dyDescent="0.25">
      <c r="B9" s="26">
        <v>8</v>
      </c>
      <c r="C9" s="25">
        <f>4451/64</f>
        <v>69.546875</v>
      </c>
      <c r="D9" s="25">
        <f>6899/216</f>
        <v>31.939814814814813</v>
      </c>
      <c r="E9" s="2">
        <v>89</v>
      </c>
    </row>
    <row r="12" spans="2:8" x14ac:dyDescent="0.25">
      <c r="B12" s="27" t="s">
        <v>33</v>
      </c>
    </row>
    <row r="13" spans="2:8" x14ac:dyDescent="0.25">
      <c r="B13" s="26" t="s">
        <v>32</v>
      </c>
      <c r="C13" s="26" t="s">
        <v>31</v>
      </c>
      <c r="D13" s="26" t="s">
        <v>30</v>
      </c>
      <c r="E13" s="26" t="s">
        <v>29</v>
      </c>
      <c r="F13" s="26" t="s">
        <v>28</v>
      </c>
      <c r="G13" s="26" t="s">
        <v>27</v>
      </c>
      <c r="H13" s="26" t="s">
        <v>26</v>
      </c>
    </row>
    <row r="14" spans="2:8" x14ac:dyDescent="0.25">
      <c r="B14" s="26">
        <v>10</v>
      </c>
      <c r="C14" s="1">
        <f>723309/8000</f>
        <v>90.413624999999996</v>
      </c>
      <c r="D14" s="2">
        <f>723309/8000</f>
        <v>90.413624999999996</v>
      </c>
      <c r="E14" s="2">
        <f>17391/512</f>
        <v>33.966796875</v>
      </c>
      <c r="F14" s="2">
        <f>17391/512</f>
        <v>33.966796875</v>
      </c>
      <c r="G14" s="2">
        <v>100000</v>
      </c>
      <c r="H14" s="2" t="s">
        <v>25</v>
      </c>
    </row>
    <row r="15" spans="2:8" x14ac:dyDescent="0.25">
      <c r="B15" s="26">
        <v>20</v>
      </c>
      <c r="C15" s="2">
        <f>4572973323/21952000</f>
        <v>208.3169334456997</v>
      </c>
      <c r="D15" s="2">
        <f>105659/512</f>
        <v>206.365234375</v>
      </c>
      <c r="E15" s="2">
        <f>60448/1125</f>
        <v>53.731555555555559</v>
      </c>
      <c r="F15" s="2">
        <f>250528/4913</f>
        <v>50.992876043150822</v>
      </c>
      <c r="G15" s="2">
        <v>100000</v>
      </c>
      <c r="H15" s="2" t="s">
        <v>24</v>
      </c>
    </row>
    <row r="16" spans="2:8" x14ac:dyDescent="0.25">
      <c r="B16" s="26">
        <v>50</v>
      </c>
      <c r="C16" s="2">
        <f>5627268169/11664000</f>
        <v>482.44754535322357</v>
      </c>
      <c r="D16" s="2">
        <f>5920376509/12348000</f>
        <v>479.46035868156787</v>
      </c>
      <c r="E16" s="2">
        <f>5434539926111/40692834000</f>
        <v>133.55029355072691</v>
      </c>
      <c r="F16" s="2">
        <f>989986522/7414875</f>
        <v>133.51358209005545</v>
      </c>
      <c r="G16" s="2">
        <v>100000</v>
      </c>
      <c r="H16" s="2" t="s">
        <v>23</v>
      </c>
    </row>
    <row r="17" spans="2:10" x14ac:dyDescent="0.25">
      <c r="B17" s="26">
        <v>70</v>
      </c>
      <c r="C17" s="2">
        <f>170810055632291/262963008000</f>
        <v>649.55925524053555</v>
      </c>
      <c r="D17" s="2"/>
      <c r="E17" s="2">
        <f>1904830997/9331200</f>
        <v>204.13569498028122</v>
      </c>
      <c r="F17" s="2"/>
      <c r="G17" s="2">
        <v>100000</v>
      </c>
      <c r="H17" s="2" t="s">
        <v>22</v>
      </c>
    </row>
    <row r="18" spans="2:10" x14ac:dyDescent="0.25">
      <c r="B18" s="26">
        <v>100</v>
      </c>
      <c r="C18" s="1">
        <f>772969451279279/852000145920</f>
        <v>907.24098461816254</v>
      </c>
      <c r="D18" s="2"/>
      <c r="E18" s="2">
        <f>6082061447009760/21300003648000</f>
        <v>285.54274203520362</v>
      </c>
      <c r="F18" s="2"/>
      <c r="G18" s="2">
        <v>100000</v>
      </c>
      <c r="H18" s="2" t="s">
        <v>21</v>
      </c>
    </row>
    <row r="19" spans="2:10" x14ac:dyDescent="0.25">
      <c r="B19" s="26">
        <v>1000</v>
      </c>
      <c r="C19" s="2"/>
      <c r="D19" s="2"/>
      <c r="E19" s="2"/>
      <c r="F19" s="2"/>
      <c r="G19" s="2">
        <v>100000</v>
      </c>
      <c r="H19" s="2"/>
      <c r="J19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drevesa</vt:lpstr>
      <vt:lpstr>grafi</vt:lpstr>
      <vt:lpstr>enociklicni grafi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Marija</dc:creator>
  <cp:lastModifiedBy>Marija Janeva</cp:lastModifiedBy>
  <dcterms:created xsi:type="dcterms:W3CDTF">2020-01-08T20:33:45Z</dcterms:created>
  <dcterms:modified xsi:type="dcterms:W3CDTF">2020-01-09T17:01:47Z</dcterms:modified>
</cp:coreProperties>
</file>