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ml.chartshapes+xml"/>
  <Override PartName="/xl/charts/chart2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ml.chartshapes+xml"/>
  <Override PartName="/xl/charts/chart2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7.xml" ContentType="application/vnd.openxmlformats-officedocument.drawing+xml"/>
  <Override PartName="/xl/charts/chart2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8.xml" ContentType="application/vnd.openxmlformats-officedocument.drawing+xml"/>
  <Override PartName="/xl/charts/chart2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8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9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0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1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2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harts/chart43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4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anw\Desktop\Bachelorarbeit\"/>
    </mc:Choice>
  </mc:AlternateContent>
  <xr:revisionPtr revIDLastSave="0" documentId="10_ncr:8100000_{C8321722-1170-4E43-8743-9EBEE1B14624}" xr6:coauthVersionLast="34" xr6:coauthVersionMax="34" xr10:uidLastSave="{00000000-0000-0000-0000-000000000000}"/>
  <bookViews>
    <workbookView xWindow="360" yWindow="30" windowWidth="15090" windowHeight="9525" tabRatio="791" activeTab="8" xr2:uid="{00000000-000D-0000-FFFF-FFFF00000000}"/>
  </bookViews>
  <sheets>
    <sheet name="daten" sheetId="1" r:id="rId1"/>
    <sheet name="PA" sheetId="10" r:id="rId2"/>
    <sheet name="PA (2)" sheetId="11" r:id="rId3"/>
    <sheet name="Verd" sheetId="12" r:id="rId4"/>
    <sheet name="Verd (2)" sheetId="14" r:id="rId5"/>
    <sheet name="Verteilung" sheetId="13" r:id="rId6"/>
    <sheet name="Gewichte" sheetId="6" r:id="rId7"/>
    <sheet name="Lage TCP" sheetId="15" r:id="rId8"/>
    <sheet name="baseTests" sheetId="8" r:id="rId9"/>
    <sheet name="kinemat." sheetId="16" r:id="rId10"/>
    <sheet name="Vergleich_10PM-KB" sheetId="17" r:id="rId11"/>
  </sheets>
  <calcPr calcId="162913"/>
</workbook>
</file>

<file path=xl/calcChain.xml><?xml version="1.0" encoding="utf-8"?>
<calcChain xmlns="http://schemas.openxmlformats.org/spreadsheetml/2006/main">
  <c r="G4" i="16" l="1"/>
  <c r="G2" i="16"/>
  <c r="G11" i="17" l="1"/>
  <c r="G47" i="17" s="1"/>
  <c r="F11" i="17"/>
  <c r="F48" i="17" s="1"/>
  <c r="E11" i="17"/>
  <c r="E48" i="17" s="1"/>
  <c r="D11" i="17"/>
  <c r="D47" i="17" s="1"/>
  <c r="C11" i="17"/>
  <c r="C47" i="17" s="1"/>
  <c r="B11" i="17"/>
  <c r="B48" i="17" s="1"/>
  <c r="G7" i="17"/>
  <c r="F7" i="17"/>
  <c r="E7" i="17"/>
  <c r="D7" i="17"/>
  <c r="C7" i="17"/>
  <c r="B7" i="17"/>
  <c r="G6" i="17"/>
  <c r="F6" i="17"/>
  <c r="E6" i="17"/>
  <c r="E8" i="17" s="1"/>
  <c r="E14" i="17" s="1"/>
  <c r="D6" i="17"/>
  <c r="C6" i="17"/>
  <c r="B6" i="17"/>
  <c r="D8" i="17" l="1"/>
  <c r="D14" i="17" s="1"/>
  <c r="G46" i="17"/>
  <c r="C8" i="17"/>
  <c r="C28" i="17" s="1"/>
  <c r="C44" i="17"/>
  <c r="G8" i="17"/>
  <c r="G28" i="17" s="1"/>
  <c r="G44" i="17"/>
  <c r="E47" i="17"/>
  <c r="B8" i="17"/>
  <c r="F8" i="17"/>
  <c r="F19" i="17" s="1"/>
  <c r="E45" i="17"/>
  <c r="C48" i="17"/>
  <c r="C46" i="17"/>
  <c r="G48" i="17"/>
  <c r="D30" i="17"/>
  <c r="D28" i="17"/>
  <c r="D24" i="17"/>
  <c r="D22" i="17"/>
  <c r="D20" i="17"/>
  <c r="D33" i="17"/>
  <c r="D31" i="17"/>
  <c r="D29" i="17"/>
  <c r="D25" i="17"/>
  <c r="D23" i="17"/>
  <c r="D21" i="17"/>
  <c r="D36" i="17"/>
  <c r="D34" i="17"/>
  <c r="D32" i="17"/>
  <c r="E35" i="17"/>
  <c r="E33" i="17"/>
  <c r="E31" i="17"/>
  <c r="E29" i="17"/>
  <c r="E27" i="17"/>
  <c r="E25" i="17"/>
  <c r="E23" i="17"/>
  <c r="E21" i="17"/>
  <c r="E19" i="17"/>
  <c r="E36" i="17"/>
  <c r="E34" i="17"/>
  <c r="E32" i="17"/>
  <c r="E30" i="17"/>
  <c r="E28" i="17"/>
  <c r="E26" i="17"/>
  <c r="E24" i="17"/>
  <c r="E22" i="17"/>
  <c r="E20" i="17"/>
  <c r="F36" i="17"/>
  <c r="F27" i="17"/>
  <c r="G36" i="17"/>
  <c r="G34" i="17"/>
  <c r="G26" i="17"/>
  <c r="G20" i="17"/>
  <c r="G35" i="17"/>
  <c r="G27" i="17"/>
  <c r="G21" i="17"/>
  <c r="G19" i="17"/>
  <c r="D44" i="17"/>
  <c r="B45" i="17"/>
  <c r="F45" i="17"/>
  <c r="D46" i="17"/>
  <c r="B47" i="17"/>
  <c r="F47" i="17"/>
  <c r="D48" i="17"/>
  <c r="E44" i="17"/>
  <c r="C45" i="17"/>
  <c r="G45" i="17"/>
  <c r="E46" i="17"/>
  <c r="B44" i="17"/>
  <c r="F44" i="17"/>
  <c r="D45" i="17"/>
  <c r="B46" i="17"/>
  <c r="F46" i="17"/>
  <c r="AB47" i="6"/>
  <c r="C19" i="17" l="1"/>
  <c r="G29" i="17"/>
  <c r="D19" i="17"/>
  <c r="D27" i="17"/>
  <c r="D38" i="17" s="1"/>
  <c r="D35" i="17"/>
  <c r="D26" i="17"/>
  <c r="C35" i="17"/>
  <c r="C26" i="17"/>
  <c r="C27" i="17"/>
  <c r="B36" i="17"/>
  <c r="B14" i="17"/>
  <c r="C32" i="17"/>
  <c r="C14" i="17"/>
  <c r="C29" i="17"/>
  <c r="C34" i="17"/>
  <c r="F34" i="17"/>
  <c r="F14" i="17"/>
  <c r="G32" i="17"/>
  <c r="G14" i="17"/>
  <c r="C21" i="17"/>
  <c r="C20" i="17"/>
  <c r="C36" i="17"/>
  <c r="B22" i="17"/>
  <c r="B31" i="17"/>
  <c r="B24" i="17"/>
  <c r="C23" i="17"/>
  <c r="C31" i="17"/>
  <c r="C22" i="17"/>
  <c r="C30" i="17"/>
  <c r="B19" i="17"/>
  <c r="B32" i="17"/>
  <c r="C25" i="17"/>
  <c r="C33" i="17"/>
  <c r="C24" i="17"/>
  <c r="B33" i="17"/>
  <c r="G49" i="17"/>
  <c r="G23" i="17"/>
  <c r="G31" i="17"/>
  <c r="G22" i="17"/>
  <c r="G30" i="17"/>
  <c r="F20" i="17"/>
  <c r="C49" i="17"/>
  <c r="G25" i="17"/>
  <c r="G33" i="17"/>
  <c r="G24" i="17"/>
  <c r="F28" i="17"/>
  <c r="B25" i="17"/>
  <c r="B30" i="17"/>
  <c r="F21" i="17"/>
  <c r="F29" i="17"/>
  <c r="F30" i="17"/>
  <c r="F33" i="17"/>
  <c r="F23" i="17"/>
  <c r="F31" i="17"/>
  <c r="F24" i="17"/>
  <c r="F32" i="17"/>
  <c r="B27" i="17"/>
  <c r="B21" i="17"/>
  <c r="B35" i="17"/>
  <c r="B26" i="17"/>
  <c r="B34" i="17"/>
  <c r="F22" i="17"/>
  <c r="C50" i="17"/>
  <c r="G50" i="17"/>
  <c r="G51" i="17" s="1"/>
  <c r="F25" i="17"/>
  <c r="F35" i="17"/>
  <c r="F26" i="17"/>
  <c r="B29" i="17"/>
  <c r="B23" i="17"/>
  <c r="B20" i="17"/>
  <c r="B28" i="17"/>
  <c r="E50" i="17"/>
  <c r="E49" i="17"/>
  <c r="D49" i="17"/>
  <c r="D50" i="17"/>
  <c r="B50" i="17"/>
  <c r="B49" i="17"/>
  <c r="F50" i="17"/>
  <c r="F49" i="17"/>
  <c r="E37" i="17"/>
  <c r="E38" i="17"/>
  <c r="D37" i="17"/>
  <c r="V48" i="6"/>
  <c r="S55" i="6"/>
  <c r="S56" i="6"/>
  <c r="S57" i="6"/>
  <c r="S58" i="6"/>
  <c r="S54" i="6"/>
  <c r="P59" i="6"/>
  <c r="Q55" i="6"/>
  <c r="F105" i="6"/>
  <c r="F102" i="6"/>
  <c r="F99" i="6"/>
  <c r="F96" i="6"/>
  <c r="P56" i="6"/>
  <c r="P55" i="6"/>
  <c r="P48" i="6"/>
  <c r="F62" i="6"/>
  <c r="P49" i="6"/>
  <c r="R49" i="6"/>
  <c r="R48" i="6"/>
  <c r="R50" i="6"/>
  <c r="Q50" i="6"/>
  <c r="Q49" i="6"/>
  <c r="Q48" i="6"/>
  <c r="E15" i="17" l="1"/>
  <c r="B15" i="17"/>
  <c r="C38" i="17"/>
  <c r="F51" i="17"/>
  <c r="C51" i="17"/>
  <c r="C37" i="17"/>
  <c r="G37" i="17"/>
  <c r="F38" i="17"/>
  <c r="G38" i="17"/>
  <c r="B38" i="17"/>
  <c r="F37" i="17"/>
  <c r="B37" i="17"/>
  <c r="E51" i="17"/>
  <c r="B51" i="17"/>
  <c r="D39" i="17"/>
  <c r="D51" i="17"/>
  <c r="E39" i="17"/>
  <c r="A282" i="1"/>
  <c r="A268" i="1"/>
  <c r="G282" i="1"/>
  <c r="G284" i="1"/>
  <c r="I282" i="1"/>
  <c r="H282" i="1"/>
  <c r="I283" i="1"/>
  <c r="I284" i="1"/>
  <c r="H284" i="1"/>
  <c r="H283" i="1"/>
  <c r="F282" i="1"/>
  <c r="I288" i="1"/>
  <c r="H288" i="1"/>
  <c r="G288" i="1"/>
  <c r="F283" i="1"/>
  <c r="E283" i="1"/>
  <c r="D283" i="1"/>
  <c r="G283" i="1"/>
  <c r="B42" i="16"/>
  <c r="B34" i="16"/>
  <c r="B28" i="16"/>
  <c r="B22" i="16"/>
  <c r="M47" i="16"/>
  <c r="O47" i="16" s="1"/>
  <c r="L47" i="16"/>
  <c r="K47" i="16"/>
  <c r="J47" i="16"/>
  <c r="M46" i="16"/>
  <c r="O46" i="16" s="1"/>
  <c r="L46" i="16"/>
  <c r="K46" i="16"/>
  <c r="J46" i="16"/>
  <c r="M45" i="16"/>
  <c r="O45" i="16" s="1"/>
  <c r="L45" i="16"/>
  <c r="K45" i="16"/>
  <c r="J45" i="16"/>
  <c r="M44" i="16"/>
  <c r="O44" i="16" s="1"/>
  <c r="L44" i="16"/>
  <c r="K44" i="16"/>
  <c r="J44" i="16"/>
  <c r="M43" i="16"/>
  <c r="O43" i="16" s="1"/>
  <c r="L43" i="16"/>
  <c r="K43" i="16"/>
  <c r="J43" i="16"/>
  <c r="M42" i="16"/>
  <c r="O42" i="16" s="1"/>
  <c r="L42" i="16"/>
  <c r="K42" i="16"/>
  <c r="J42" i="16"/>
  <c r="M41" i="16"/>
  <c r="O41" i="16" s="1"/>
  <c r="L41" i="16"/>
  <c r="K41" i="16"/>
  <c r="J41" i="16"/>
  <c r="M40" i="16"/>
  <c r="O40" i="16" s="1"/>
  <c r="L40" i="16"/>
  <c r="K40" i="16"/>
  <c r="R42" i="16" s="1" a="1"/>
  <c r="J40" i="16"/>
  <c r="M39" i="16"/>
  <c r="O39" i="16" s="1"/>
  <c r="L39" i="16"/>
  <c r="K39" i="16"/>
  <c r="J39" i="16"/>
  <c r="M38" i="16"/>
  <c r="O38" i="16" s="1"/>
  <c r="L38" i="16"/>
  <c r="K38" i="16"/>
  <c r="J38" i="16"/>
  <c r="M37" i="16"/>
  <c r="O37" i="16" s="1"/>
  <c r="L37" i="16"/>
  <c r="K37" i="16"/>
  <c r="J37" i="16"/>
  <c r="M36" i="16"/>
  <c r="O36" i="16" s="1"/>
  <c r="L36" i="16"/>
  <c r="K36" i="16"/>
  <c r="J36" i="16"/>
  <c r="M35" i="16"/>
  <c r="O35" i="16" s="1"/>
  <c r="L35" i="16"/>
  <c r="K35" i="16"/>
  <c r="J35" i="16"/>
  <c r="M34" i="16"/>
  <c r="O34" i="16" s="1"/>
  <c r="L34" i="16"/>
  <c r="K34" i="16"/>
  <c r="J34" i="16"/>
  <c r="M33" i="16"/>
  <c r="O33" i="16" s="1"/>
  <c r="L33" i="16"/>
  <c r="K33" i="16"/>
  <c r="J33" i="16"/>
  <c r="M32" i="16"/>
  <c r="O32" i="16" s="1"/>
  <c r="L32" i="16"/>
  <c r="K32" i="16"/>
  <c r="J32" i="16"/>
  <c r="M31" i="16"/>
  <c r="O31" i="16" s="1"/>
  <c r="L31" i="16"/>
  <c r="K31" i="16"/>
  <c r="J31" i="16"/>
  <c r="M30" i="16"/>
  <c r="O30" i="16" s="1"/>
  <c r="L30" i="16"/>
  <c r="K30" i="16"/>
  <c r="J30" i="16"/>
  <c r="M29" i="16"/>
  <c r="O29" i="16" s="1"/>
  <c r="L29" i="16"/>
  <c r="K29" i="16"/>
  <c r="J29" i="16"/>
  <c r="M28" i="16"/>
  <c r="O28" i="16" s="1"/>
  <c r="L28" i="16"/>
  <c r="K28" i="16"/>
  <c r="J28" i="16"/>
  <c r="M27" i="16"/>
  <c r="O27" i="16" s="1"/>
  <c r="L27" i="16"/>
  <c r="K27" i="16"/>
  <c r="J27" i="16"/>
  <c r="M26" i="16"/>
  <c r="O26" i="16" s="1"/>
  <c r="L26" i="16"/>
  <c r="K26" i="16"/>
  <c r="R28" i="16" s="1" a="1"/>
  <c r="J26" i="16"/>
  <c r="M25" i="16"/>
  <c r="O25" i="16" s="1"/>
  <c r="L25" i="16"/>
  <c r="K25" i="16"/>
  <c r="J25" i="16"/>
  <c r="M24" i="16"/>
  <c r="O24" i="16" s="1"/>
  <c r="L24" i="16"/>
  <c r="K24" i="16"/>
  <c r="J24" i="16"/>
  <c r="M23" i="16"/>
  <c r="O23" i="16" s="1"/>
  <c r="L23" i="16"/>
  <c r="K23" i="16"/>
  <c r="J23" i="16"/>
  <c r="M22" i="16"/>
  <c r="O22" i="16" s="1"/>
  <c r="L22" i="16"/>
  <c r="K22" i="16"/>
  <c r="J22" i="16"/>
  <c r="M21" i="16"/>
  <c r="O21" i="16" s="1"/>
  <c r="L21" i="16"/>
  <c r="K21" i="16"/>
  <c r="J21" i="16"/>
  <c r="M20" i="16"/>
  <c r="O20" i="16" s="1"/>
  <c r="L20" i="16"/>
  <c r="K20" i="16"/>
  <c r="R22" i="16" s="1" a="1"/>
  <c r="J20" i="16"/>
  <c r="Q22" i="16" s="1" a="1"/>
  <c r="M19" i="16"/>
  <c r="O19" i="16" s="1"/>
  <c r="L19" i="16"/>
  <c r="K19" i="16"/>
  <c r="J19" i="16"/>
  <c r="M18" i="16"/>
  <c r="O18" i="16" s="1"/>
  <c r="L18" i="16"/>
  <c r="K18" i="16"/>
  <c r="J18" i="16"/>
  <c r="M17" i="16"/>
  <c r="O17" i="16" s="1"/>
  <c r="L17" i="16"/>
  <c r="K17" i="16"/>
  <c r="J17" i="16"/>
  <c r="M16" i="16"/>
  <c r="O16" i="16" s="1"/>
  <c r="L16" i="16"/>
  <c r="K16" i="16"/>
  <c r="J16" i="16"/>
  <c r="M15" i="16"/>
  <c r="O15" i="16" s="1"/>
  <c r="L15" i="16"/>
  <c r="K15" i="16"/>
  <c r="J15" i="16"/>
  <c r="M14" i="16"/>
  <c r="O14" i="16" s="1"/>
  <c r="L14" i="16"/>
  <c r="K14" i="16"/>
  <c r="J14" i="16"/>
  <c r="C39" i="17" l="1"/>
  <c r="E52" i="17"/>
  <c r="F39" i="17"/>
  <c r="B39" i="17"/>
  <c r="G39" i="17"/>
  <c r="B52" i="17"/>
  <c r="N32" i="16"/>
  <c r="N33" i="16"/>
  <c r="N34" i="16"/>
  <c r="N46" i="16"/>
  <c r="Q42" i="16" a="1"/>
  <c r="Q42" i="16" s="1"/>
  <c r="N47" i="16"/>
  <c r="N14" i="16"/>
  <c r="N24" i="16"/>
  <c r="N25" i="16"/>
  <c r="N26" i="16"/>
  <c r="R34" i="16" a="1"/>
  <c r="R34" i="16" s="1"/>
  <c r="Q16" i="16" a="1"/>
  <c r="Q28" i="16" a="1"/>
  <c r="Q28" i="16" s="1"/>
  <c r="R16" i="16" a="1"/>
  <c r="R16" i="16" s="1"/>
  <c r="Q34" i="16" a="1"/>
  <c r="Q34" i="16" s="1"/>
  <c r="N37" i="16"/>
  <c r="N38" i="16"/>
  <c r="N39" i="16"/>
  <c r="N40" i="16"/>
  <c r="N41" i="16"/>
  <c r="N44" i="16"/>
  <c r="N45" i="16"/>
  <c r="N15" i="16"/>
  <c r="N17" i="16"/>
  <c r="N18" i="16"/>
  <c r="N20" i="16"/>
  <c r="R28" i="16"/>
  <c r="N16" i="16"/>
  <c r="N22" i="16"/>
  <c r="N27" i="16"/>
  <c r="N36" i="16"/>
  <c r="Q16" i="16"/>
  <c r="N29" i="16"/>
  <c r="N30" i="16"/>
  <c r="N31" i="16"/>
  <c r="N42" i="16"/>
  <c r="R42" i="16"/>
  <c r="Q22" i="16"/>
  <c r="N35" i="16"/>
  <c r="R22" i="16"/>
  <c r="D284" i="1"/>
  <c r="J284" i="1"/>
  <c r="N28" i="16"/>
  <c r="N43" i="16"/>
  <c r="N19" i="16"/>
  <c r="N21" i="16"/>
  <c r="N23" i="16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7" i="8"/>
  <c r="N8" i="8"/>
  <c r="N9" i="8"/>
  <c r="N10" i="8"/>
  <c r="N11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7" i="8"/>
  <c r="L8" i="8"/>
  <c r="L9" i="8"/>
  <c r="L10" i="8"/>
  <c r="L11" i="8"/>
  <c r="L12" i="8"/>
  <c r="N12" i="8" s="1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7" i="8"/>
  <c r="B40" i="17" l="1"/>
  <c r="E40" i="17"/>
  <c r="Q43" i="16"/>
  <c r="G5" i="16" s="1"/>
  <c r="Q17" i="16"/>
  <c r="Q29" i="16"/>
  <c r="G9" i="16" s="1"/>
  <c r="Q35" i="16"/>
  <c r="Q23" i="16"/>
  <c r="G8" i="16" s="1"/>
  <c r="N47" i="8"/>
  <c r="M47" i="8"/>
  <c r="M49" i="8" s="1"/>
  <c r="M50" i="8" s="1"/>
  <c r="U22" i="8"/>
  <c r="V22" i="8"/>
  <c r="U23" i="8"/>
  <c r="V23" i="8"/>
  <c r="U24" i="8"/>
  <c r="V24" i="8"/>
  <c r="U25" i="8"/>
  <c r="V25" i="8"/>
  <c r="U26" i="8"/>
  <c r="V26" i="8"/>
  <c r="T25" i="8"/>
  <c r="T22" i="8"/>
  <c r="V17" i="8"/>
  <c r="V14" i="8"/>
  <c r="T9" i="8"/>
  <c r="T8" i="8"/>
  <c r="T7" i="8"/>
  <c r="U7" i="8"/>
  <c r="U8" i="8"/>
  <c r="V9" i="8"/>
  <c r="U9" i="8"/>
  <c r="U10" i="8"/>
  <c r="T18" i="8" l="1"/>
  <c r="T17" i="8"/>
  <c r="T23" i="8" s="1"/>
  <c r="T16" i="8"/>
  <c r="T26" i="8" s="1"/>
  <c r="T15" i="8"/>
  <c r="T21" i="8" s="1"/>
  <c r="T14" i="8"/>
  <c r="T24" i="8" s="1"/>
  <c r="T13" i="8"/>
  <c r="T12" i="8"/>
  <c r="T11" i="8"/>
  <c r="T10" i="8"/>
  <c r="P56" i="8" l="1"/>
  <c r="F147" i="1" l="1"/>
  <c r="F91" i="6" l="1"/>
  <c r="F88" i="6"/>
  <c r="F85" i="6"/>
  <c r="F82" i="6"/>
  <c r="F79" i="6"/>
  <c r="F76" i="6"/>
  <c r="F72" i="6"/>
  <c r="F69" i="6"/>
  <c r="F66" i="6"/>
  <c r="F25" i="6"/>
  <c r="F28" i="6"/>
  <c r="F31" i="6"/>
  <c r="F34" i="6"/>
  <c r="F37" i="6"/>
  <c r="F40" i="6"/>
  <c r="F43" i="6"/>
  <c r="F46" i="6"/>
  <c r="F59" i="6"/>
  <c r="F56" i="6"/>
  <c r="F53" i="6"/>
  <c r="F50" i="6"/>
  <c r="P79" i="6"/>
  <c r="F252" i="1"/>
  <c r="P77" i="6"/>
  <c r="R83" i="6"/>
  <c r="Q83" i="6"/>
  <c r="P83" i="6"/>
  <c r="R82" i="6"/>
  <c r="Q82" i="6"/>
  <c r="P82" i="6"/>
  <c r="R81" i="6"/>
  <c r="Q81" i="6"/>
  <c r="P81" i="6"/>
  <c r="R79" i="6"/>
  <c r="Q79" i="6"/>
  <c r="R78" i="6"/>
  <c r="Q78" i="6"/>
  <c r="P78" i="6"/>
  <c r="R77" i="6"/>
  <c r="Q77" i="6"/>
  <c r="R58" i="6"/>
  <c r="Q58" i="6"/>
  <c r="P58" i="6"/>
  <c r="R57" i="6"/>
  <c r="Q57" i="6"/>
  <c r="P57" i="6"/>
  <c r="AA48" i="6" s="1"/>
  <c r="R56" i="6"/>
  <c r="Q56" i="6"/>
  <c r="R52" i="6"/>
  <c r="Q52" i="6"/>
  <c r="P52" i="6"/>
  <c r="R51" i="6"/>
  <c r="Q51" i="6"/>
  <c r="P51" i="6"/>
  <c r="P50" i="6"/>
  <c r="V50" i="6" l="1"/>
  <c r="V49" i="6"/>
  <c r="AA50" i="6"/>
  <c r="AA49" i="6"/>
  <c r="AA47" i="6" s="1"/>
  <c r="AA78" i="6"/>
  <c r="AA79" i="6"/>
  <c r="V77" i="6"/>
  <c r="AA77" i="6"/>
  <c r="V78" i="6"/>
  <c r="V79" i="6"/>
  <c r="V76" i="6" s="1"/>
  <c r="I84" i="8"/>
  <c r="J84" i="8"/>
  <c r="K84" i="8"/>
  <c r="V47" i="6" l="1"/>
  <c r="Z49" i="6"/>
  <c r="AA76" i="6"/>
  <c r="U82" i="6"/>
  <c r="U51" i="6"/>
  <c r="E74" i="13"/>
  <c r="E64" i="13"/>
  <c r="E54" i="13"/>
  <c r="E44" i="13"/>
  <c r="E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34" i="13"/>
  <c r="P8" i="13"/>
  <c r="Q8" i="13"/>
  <c r="R8" i="13"/>
  <c r="H279" i="1"/>
  <c r="H274" i="1"/>
  <c r="H225" i="1"/>
  <c r="Q4" i="14"/>
  <c r="R29" i="14"/>
  <c r="Q29" i="14"/>
  <c r="P29" i="14"/>
  <c r="R28" i="14"/>
  <c r="Q28" i="14"/>
  <c r="P28" i="14"/>
  <c r="R27" i="14"/>
  <c r="Q27" i="14"/>
  <c r="P27" i="14"/>
  <c r="R26" i="14"/>
  <c r="Q26" i="14"/>
  <c r="P26" i="14"/>
  <c r="R25" i="14"/>
  <c r="Q25" i="14"/>
  <c r="P25" i="14"/>
  <c r="R24" i="14"/>
  <c r="Q24" i="14"/>
  <c r="P24" i="14"/>
  <c r="R23" i="14"/>
  <c r="Q23" i="14"/>
  <c r="P23" i="14"/>
  <c r="R22" i="14"/>
  <c r="Q22" i="14"/>
  <c r="P22" i="14"/>
  <c r="S22" i="14" s="1"/>
  <c r="R20" i="14"/>
  <c r="Q20" i="14"/>
  <c r="P20" i="14"/>
  <c r="R19" i="14"/>
  <c r="Q19" i="14"/>
  <c r="P19" i="14"/>
  <c r="R18" i="14"/>
  <c r="Q18" i="14"/>
  <c r="P18" i="14"/>
  <c r="R17" i="14"/>
  <c r="Q17" i="14"/>
  <c r="P17" i="14"/>
  <c r="R16" i="14"/>
  <c r="Q16" i="14"/>
  <c r="P16" i="14"/>
  <c r="R15" i="14"/>
  <c r="Q15" i="14"/>
  <c r="P15" i="14"/>
  <c r="R14" i="14"/>
  <c r="Q14" i="14"/>
  <c r="P14" i="14"/>
  <c r="R13" i="14"/>
  <c r="Q13" i="14"/>
  <c r="P13" i="14"/>
  <c r="S13" i="14" s="1"/>
  <c r="R11" i="14"/>
  <c r="Q11" i="14"/>
  <c r="P11" i="14"/>
  <c r="R10" i="14"/>
  <c r="Q10" i="14"/>
  <c r="P10" i="14"/>
  <c r="R9" i="14"/>
  <c r="Q9" i="14"/>
  <c r="P9" i="14"/>
  <c r="R8" i="14"/>
  <c r="Q8" i="14"/>
  <c r="P8" i="14"/>
  <c r="R7" i="14"/>
  <c r="Q7" i="14"/>
  <c r="P7" i="14"/>
  <c r="R6" i="14"/>
  <c r="Q6" i="14"/>
  <c r="P6" i="14"/>
  <c r="R5" i="14"/>
  <c r="Q5" i="14"/>
  <c r="P5" i="14"/>
  <c r="R4" i="14"/>
  <c r="P4" i="14"/>
  <c r="S5" i="12"/>
  <c r="S6" i="12"/>
  <c r="S7" i="12"/>
  <c r="S8" i="12"/>
  <c r="S9" i="12"/>
  <c r="S10" i="12"/>
  <c r="S11" i="12"/>
  <c r="S13" i="12"/>
  <c r="S14" i="12"/>
  <c r="S15" i="12"/>
  <c r="S16" i="12"/>
  <c r="S17" i="12"/>
  <c r="S18" i="12"/>
  <c r="S19" i="12"/>
  <c r="S20" i="12"/>
  <c r="S22" i="12"/>
  <c r="S23" i="12"/>
  <c r="S24" i="12"/>
  <c r="S25" i="12"/>
  <c r="S26" i="12"/>
  <c r="S27" i="12"/>
  <c r="S28" i="12"/>
  <c r="S29" i="12"/>
  <c r="S4" i="12"/>
  <c r="U54" i="6" l="1"/>
  <c r="U53" i="6"/>
  <c r="U49" i="6"/>
  <c r="Z54" i="6"/>
  <c r="U77" i="6"/>
  <c r="U81" i="6"/>
  <c r="Z51" i="6"/>
  <c r="U83" i="6"/>
  <c r="AB76" i="6"/>
  <c r="Z82" i="6" s="1"/>
  <c r="U50" i="6"/>
  <c r="Z53" i="6"/>
  <c r="Z48" i="6"/>
  <c r="U79" i="6"/>
  <c r="U78" i="6"/>
  <c r="U80" i="6"/>
  <c r="U52" i="6"/>
  <c r="U48" i="6"/>
  <c r="Z50" i="6"/>
  <c r="Z52" i="6"/>
  <c r="S4" i="14"/>
  <c r="S26" i="14"/>
  <c r="S17" i="14"/>
  <c r="S8" i="14"/>
  <c r="S29" i="14"/>
  <c r="S7" i="14"/>
  <c r="S11" i="14"/>
  <c r="S16" i="14"/>
  <c r="S20" i="14"/>
  <c r="S25" i="14"/>
  <c r="S6" i="14"/>
  <c r="S10" i="14"/>
  <c r="S15" i="14"/>
  <c r="S19" i="14"/>
  <c r="S24" i="14"/>
  <c r="S28" i="14"/>
  <c r="S5" i="14"/>
  <c r="S9" i="14"/>
  <c r="S14" i="14"/>
  <c r="S18" i="14"/>
  <c r="S23" i="14"/>
  <c r="S27" i="14"/>
  <c r="O329" i="1"/>
  <c r="N329" i="1"/>
  <c r="H315" i="1" s="1"/>
  <c r="M329" i="1"/>
  <c r="G279" i="1"/>
  <c r="Z80" i="6" l="1"/>
  <c r="Z77" i="6"/>
  <c r="Z83" i="6"/>
  <c r="Z79" i="6"/>
  <c r="Z81" i="6"/>
  <c r="Z78" i="6"/>
  <c r="R7" i="13"/>
  <c r="Q7" i="13"/>
  <c r="P7" i="13"/>
  <c r="R6" i="13"/>
  <c r="Q6" i="13"/>
  <c r="P6" i="13"/>
  <c r="R5" i="13"/>
  <c r="Q5" i="13"/>
  <c r="P5" i="13"/>
  <c r="R4" i="13"/>
  <c r="Q4" i="13"/>
  <c r="P4" i="13"/>
  <c r="P32" i="12"/>
  <c r="Q32" i="12"/>
  <c r="R32" i="12"/>
  <c r="P33" i="12"/>
  <c r="Q33" i="12"/>
  <c r="P34" i="12"/>
  <c r="Q34" i="12"/>
  <c r="P36" i="12"/>
  <c r="Q36" i="12"/>
  <c r="R36" i="12"/>
  <c r="P5" i="12"/>
  <c r="Q5" i="12"/>
  <c r="R5" i="12"/>
  <c r="P6" i="12"/>
  <c r="Q6" i="12"/>
  <c r="R6" i="12"/>
  <c r="P7" i="12"/>
  <c r="Q7" i="12"/>
  <c r="R7" i="12"/>
  <c r="P8" i="12"/>
  <c r="Q8" i="12"/>
  <c r="R8" i="12"/>
  <c r="P9" i="12"/>
  <c r="Q9" i="12"/>
  <c r="R9" i="12"/>
  <c r="P10" i="12"/>
  <c r="Q10" i="12"/>
  <c r="R10" i="12"/>
  <c r="P11" i="12"/>
  <c r="Q11" i="12"/>
  <c r="R11" i="12"/>
  <c r="P13" i="12"/>
  <c r="Q13" i="12"/>
  <c r="R13" i="12"/>
  <c r="P14" i="12"/>
  <c r="Q14" i="12"/>
  <c r="R14" i="12"/>
  <c r="P15" i="12"/>
  <c r="Q15" i="12"/>
  <c r="R15" i="12"/>
  <c r="P16" i="12"/>
  <c r="Q16" i="12"/>
  <c r="R16" i="12"/>
  <c r="P17" i="12"/>
  <c r="Q17" i="12"/>
  <c r="R17" i="12"/>
  <c r="P18" i="12"/>
  <c r="Q18" i="12"/>
  <c r="R18" i="12"/>
  <c r="P19" i="12"/>
  <c r="Q19" i="12"/>
  <c r="R19" i="12"/>
  <c r="P20" i="12"/>
  <c r="Q20" i="12"/>
  <c r="R20" i="12"/>
  <c r="P22" i="12"/>
  <c r="Q22" i="12"/>
  <c r="R22" i="12"/>
  <c r="P23" i="12"/>
  <c r="Q23" i="12"/>
  <c r="R23" i="12"/>
  <c r="P24" i="12"/>
  <c r="Q24" i="12"/>
  <c r="R24" i="12"/>
  <c r="P25" i="12"/>
  <c r="Q25" i="12"/>
  <c r="R25" i="12"/>
  <c r="P26" i="12"/>
  <c r="Q26" i="12"/>
  <c r="R26" i="12"/>
  <c r="P27" i="12"/>
  <c r="Q27" i="12"/>
  <c r="R27" i="12"/>
  <c r="P28" i="12"/>
  <c r="Q28" i="12"/>
  <c r="R28" i="12"/>
  <c r="P29" i="12"/>
  <c r="Q29" i="12"/>
  <c r="R29" i="12"/>
  <c r="R4" i="12"/>
  <c r="Q4" i="12"/>
  <c r="P4" i="12"/>
  <c r="R47" i="11"/>
  <c r="Q47" i="11"/>
  <c r="P47" i="11"/>
  <c r="R42" i="11"/>
  <c r="Q42" i="11"/>
  <c r="P42" i="11"/>
  <c r="R37" i="11"/>
  <c r="Q37" i="11"/>
  <c r="P37" i="11"/>
  <c r="R32" i="11"/>
  <c r="Q32" i="11"/>
  <c r="P32" i="11"/>
  <c r="R27" i="11"/>
  <c r="Q27" i="11"/>
  <c r="P27" i="11"/>
  <c r="R26" i="11"/>
  <c r="Q26" i="11"/>
  <c r="P26" i="11"/>
  <c r="R25" i="11"/>
  <c r="Q25" i="11"/>
  <c r="P25" i="11"/>
  <c r="R24" i="11"/>
  <c r="Q24" i="11"/>
  <c r="P24" i="11"/>
  <c r="R23" i="11"/>
  <c r="Q23" i="11"/>
  <c r="P23" i="11"/>
  <c r="R22" i="11"/>
  <c r="Q22" i="11"/>
  <c r="P22" i="11"/>
  <c r="R21" i="11"/>
  <c r="Q21" i="11"/>
  <c r="P21" i="11"/>
  <c r="R20" i="11"/>
  <c r="Q20" i="11"/>
  <c r="P20" i="11"/>
  <c r="R19" i="11"/>
  <c r="Q19" i="11"/>
  <c r="P19" i="11"/>
  <c r="R18" i="11"/>
  <c r="Q18" i="11"/>
  <c r="P18" i="11"/>
  <c r="R17" i="11"/>
  <c r="Q17" i="11"/>
  <c r="P17" i="11"/>
  <c r="R16" i="11"/>
  <c r="Q16" i="11"/>
  <c r="P16" i="11"/>
  <c r="R15" i="11"/>
  <c r="Q15" i="11"/>
  <c r="P15" i="11"/>
  <c r="R14" i="11"/>
  <c r="Q14" i="11"/>
  <c r="P14" i="11"/>
  <c r="R13" i="11"/>
  <c r="Q13" i="11"/>
  <c r="P13" i="11"/>
  <c r="R12" i="11"/>
  <c r="Q12" i="11"/>
  <c r="P12" i="11"/>
  <c r="R11" i="11"/>
  <c r="Q11" i="11"/>
  <c r="P11" i="11"/>
  <c r="R10" i="11"/>
  <c r="Q10" i="11"/>
  <c r="P10" i="11"/>
  <c r="R9" i="11"/>
  <c r="Q9" i="11"/>
  <c r="P9" i="11"/>
  <c r="R8" i="11"/>
  <c r="Q8" i="11"/>
  <c r="P8" i="11"/>
  <c r="R7" i="11"/>
  <c r="Q7" i="11"/>
  <c r="P7" i="11"/>
  <c r="R6" i="11"/>
  <c r="Q6" i="11"/>
  <c r="P6" i="11"/>
  <c r="R5" i="11"/>
  <c r="Q5" i="11"/>
  <c r="P5" i="11"/>
  <c r="P22" i="10"/>
  <c r="Q22" i="10"/>
  <c r="R22" i="10"/>
  <c r="P23" i="10"/>
  <c r="Q23" i="10"/>
  <c r="R23" i="10"/>
  <c r="P24" i="10"/>
  <c r="Q24" i="10"/>
  <c r="R24" i="10"/>
  <c r="P25" i="10"/>
  <c r="Q25" i="10"/>
  <c r="R25" i="10"/>
  <c r="Q46" i="10"/>
  <c r="R46" i="10"/>
  <c r="P26" i="10"/>
  <c r="Q26" i="10"/>
  <c r="R26" i="10"/>
  <c r="P31" i="10"/>
  <c r="Q31" i="10"/>
  <c r="R31" i="10"/>
  <c r="P36" i="10"/>
  <c r="Q36" i="10"/>
  <c r="R36" i="10"/>
  <c r="P41" i="10"/>
  <c r="Q41" i="10"/>
  <c r="R41" i="10"/>
  <c r="P46" i="10"/>
  <c r="P5" i="10"/>
  <c r="Q5" i="10"/>
  <c r="R5" i="10"/>
  <c r="P6" i="10"/>
  <c r="Q6" i="10"/>
  <c r="R6" i="10"/>
  <c r="P7" i="10"/>
  <c r="Q7" i="10"/>
  <c r="R7" i="10"/>
  <c r="P8" i="10"/>
  <c r="Q8" i="10"/>
  <c r="R8" i="10"/>
  <c r="P9" i="10"/>
  <c r="Q9" i="10"/>
  <c r="R9" i="10"/>
  <c r="P10" i="10"/>
  <c r="Q10" i="10"/>
  <c r="R10" i="10"/>
  <c r="P11" i="10"/>
  <c r="Q11" i="10"/>
  <c r="R11" i="10"/>
  <c r="P12" i="10"/>
  <c r="Q12" i="10"/>
  <c r="R12" i="10"/>
  <c r="P13" i="10"/>
  <c r="Q13" i="10"/>
  <c r="R13" i="10"/>
  <c r="P14" i="10"/>
  <c r="Q14" i="10"/>
  <c r="R14" i="10"/>
  <c r="P15" i="10"/>
  <c r="Q15" i="10"/>
  <c r="R15" i="10"/>
  <c r="P16" i="10"/>
  <c r="Q16" i="10"/>
  <c r="R16" i="10"/>
  <c r="P17" i="10"/>
  <c r="Q17" i="10"/>
  <c r="R17" i="10"/>
  <c r="P18" i="10"/>
  <c r="Q18" i="10"/>
  <c r="R18" i="10"/>
  <c r="P19" i="10"/>
  <c r="Q19" i="10"/>
  <c r="R19" i="10"/>
  <c r="P20" i="10"/>
  <c r="Q20" i="10"/>
  <c r="R20" i="10"/>
  <c r="P21" i="10"/>
  <c r="Q21" i="10"/>
  <c r="R21" i="10"/>
  <c r="Q4" i="10"/>
  <c r="R4" i="10"/>
  <c r="P4" i="10"/>
  <c r="U13" i="8" l="1"/>
  <c r="U14" i="8"/>
  <c r="U15" i="8"/>
  <c r="U16" i="8"/>
  <c r="U17" i="8"/>
  <c r="U18" i="8"/>
  <c r="U12" i="8"/>
  <c r="U11" i="8"/>
  <c r="I8" i="8" l="1"/>
  <c r="J8" i="8"/>
  <c r="K8" i="8"/>
  <c r="I9" i="8"/>
  <c r="J9" i="8"/>
  <c r="K9" i="8"/>
  <c r="I10" i="8"/>
  <c r="J10" i="8"/>
  <c r="K10" i="8"/>
  <c r="I11" i="8"/>
  <c r="J11" i="8"/>
  <c r="K11" i="8"/>
  <c r="I12" i="8"/>
  <c r="J12" i="8"/>
  <c r="K12" i="8"/>
  <c r="I13" i="8"/>
  <c r="J13" i="8"/>
  <c r="K13" i="8"/>
  <c r="I14" i="8"/>
  <c r="J14" i="8"/>
  <c r="K14" i="8"/>
  <c r="I15" i="8"/>
  <c r="J15" i="8"/>
  <c r="K15" i="8"/>
  <c r="I16" i="8"/>
  <c r="J16" i="8"/>
  <c r="K16" i="8"/>
  <c r="I17" i="8"/>
  <c r="J17" i="8"/>
  <c r="K17" i="8"/>
  <c r="I18" i="8"/>
  <c r="J18" i="8"/>
  <c r="K18" i="8"/>
  <c r="I19" i="8"/>
  <c r="J19" i="8"/>
  <c r="K19" i="8"/>
  <c r="I20" i="8"/>
  <c r="J20" i="8"/>
  <c r="K20" i="8"/>
  <c r="I21" i="8"/>
  <c r="J21" i="8"/>
  <c r="K21" i="8"/>
  <c r="I22" i="8"/>
  <c r="J22" i="8"/>
  <c r="K22" i="8"/>
  <c r="I23" i="8"/>
  <c r="J23" i="8"/>
  <c r="K23" i="8"/>
  <c r="I24" i="8"/>
  <c r="J24" i="8"/>
  <c r="K24" i="8"/>
  <c r="I25" i="8"/>
  <c r="J25" i="8"/>
  <c r="K25" i="8"/>
  <c r="I26" i="8"/>
  <c r="J26" i="8"/>
  <c r="K26" i="8"/>
  <c r="I27" i="8"/>
  <c r="J27" i="8"/>
  <c r="K27" i="8"/>
  <c r="I28" i="8"/>
  <c r="J28" i="8"/>
  <c r="K28" i="8"/>
  <c r="I29" i="8"/>
  <c r="J29" i="8"/>
  <c r="K29" i="8"/>
  <c r="I30" i="8"/>
  <c r="J30" i="8"/>
  <c r="K30" i="8"/>
  <c r="I31" i="8"/>
  <c r="J31" i="8"/>
  <c r="K31" i="8"/>
  <c r="I32" i="8"/>
  <c r="J32" i="8"/>
  <c r="K32" i="8"/>
  <c r="I33" i="8"/>
  <c r="J33" i="8"/>
  <c r="K33" i="8"/>
  <c r="I34" i="8"/>
  <c r="J34" i="8"/>
  <c r="K34" i="8"/>
  <c r="I35" i="8"/>
  <c r="J35" i="8"/>
  <c r="K35" i="8"/>
  <c r="I36" i="8"/>
  <c r="J36" i="8"/>
  <c r="K36" i="8"/>
  <c r="I37" i="8"/>
  <c r="J37" i="8"/>
  <c r="K37" i="8"/>
  <c r="I38" i="8"/>
  <c r="J38" i="8"/>
  <c r="K38" i="8"/>
  <c r="I39" i="8"/>
  <c r="J39" i="8"/>
  <c r="K39" i="8"/>
  <c r="I40" i="8"/>
  <c r="J40" i="8"/>
  <c r="K40" i="8"/>
  <c r="I41" i="8"/>
  <c r="J41" i="8"/>
  <c r="K41" i="8"/>
  <c r="I42" i="8"/>
  <c r="J42" i="8"/>
  <c r="K42" i="8"/>
  <c r="I43" i="8"/>
  <c r="J43" i="8"/>
  <c r="K43" i="8"/>
  <c r="I44" i="8"/>
  <c r="J44" i="8"/>
  <c r="K44" i="8"/>
  <c r="I45" i="8"/>
  <c r="J45" i="8"/>
  <c r="K45" i="8"/>
  <c r="I46" i="8"/>
  <c r="J46" i="8"/>
  <c r="K46" i="8"/>
  <c r="I47" i="8"/>
  <c r="J47" i="8"/>
  <c r="K47" i="8"/>
  <c r="I48" i="8"/>
  <c r="J48" i="8"/>
  <c r="K48" i="8"/>
  <c r="I49" i="8"/>
  <c r="J49" i="8"/>
  <c r="K49" i="8"/>
  <c r="I50" i="8"/>
  <c r="J50" i="8"/>
  <c r="K50" i="8"/>
  <c r="I51" i="8"/>
  <c r="J51" i="8"/>
  <c r="K51" i="8"/>
  <c r="I52" i="8"/>
  <c r="J52" i="8"/>
  <c r="K52" i="8"/>
  <c r="I53" i="8"/>
  <c r="J53" i="8"/>
  <c r="K53" i="8"/>
  <c r="I54" i="8"/>
  <c r="J54" i="8"/>
  <c r="K54" i="8"/>
  <c r="I55" i="8"/>
  <c r="J55" i="8"/>
  <c r="K55" i="8"/>
  <c r="I56" i="8"/>
  <c r="J56" i="8"/>
  <c r="K56" i="8"/>
  <c r="I57" i="8"/>
  <c r="J57" i="8"/>
  <c r="K57" i="8"/>
  <c r="I58" i="8"/>
  <c r="J58" i="8"/>
  <c r="K58" i="8"/>
  <c r="I59" i="8"/>
  <c r="J59" i="8"/>
  <c r="K59" i="8"/>
  <c r="I60" i="8"/>
  <c r="J60" i="8"/>
  <c r="K60" i="8"/>
  <c r="I61" i="8"/>
  <c r="J61" i="8"/>
  <c r="K61" i="8"/>
  <c r="I62" i="8"/>
  <c r="J62" i="8"/>
  <c r="K62" i="8"/>
  <c r="I63" i="8"/>
  <c r="J63" i="8"/>
  <c r="K63" i="8"/>
  <c r="I64" i="8"/>
  <c r="J64" i="8"/>
  <c r="K64" i="8"/>
  <c r="I65" i="8"/>
  <c r="J65" i="8"/>
  <c r="K65" i="8"/>
  <c r="I66" i="8"/>
  <c r="J66" i="8"/>
  <c r="K66" i="8"/>
  <c r="I67" i="8"/>
  <c r="J67" i="8"/>
  <c r="K67" i="8"/>
  <c r="I68" i="8"/>
  <c r="J68" i="8"/>
  <c r="K68" i="8"/>
  <c r="I69" i="8"/>
  <c r="J69" i="8"/>
  <c r="K69" i="8"/>
  <c r="I70" i="8"/>
  <c r="J70" i="8"/>
  <c r="K70" i="8"/>
  <c r="I71" i="8"/>
  <c r="J71" i="8"/>
  <c r="K71" i="8"/>
  <c r="I72" i="8"/>
  <c r="J72" i="8"/>
  <c r="K72" i="8"/>
  <c r="I73" i="8"/>
  <c r="J73" i="8"/>
  <c r="K73" i="8"/>
  <c r="I74" i="8"/>
  <c r="J74" i="8"/>
  <c r="K74" i="8"/>
  <c r="I75" i="8"/>
  <c r="J75" i="8"/>
  <c r="K75" i="8"/>
  <c r="I76" i="8"/>
  <c r="J76" i="8"/>
  <c r="K76" i="8"/>
  <c r="I77" i="8"/>
  <c r="J77" i="8"/>
  <c r="K77" i="8"/>
  <c r="I78" i="8"/>
  <c r="J78" i="8"/>
  <c r="K78" i="8"/>
  <c r="I79" i="8"/>
  <c r="J79" i="8"/>
  <c r="K79" i="8"/>
  <c r="I80" i="8"/>
  <c r="J80" i="8"/>
  <c r="K80" i="8"/>
  <c r="I81" i="8"/>
  <c r="J81" i="8"/>
  <c r="K81" i="8"/>
  <c r="I82" i="8"/>
  <c r="J82" i="8"/>
  <c r="K82" i="8"/>
  <c r="I83" i="8"/>
  <c r="J83" i="8"/>
  <c r="K83" i="8"/>
  <c r="K7" i="8"/>
  <c r="R9" i="8" s="1" a="1"/>
  <c r="R9" i="8" s="1"/>
  <c r="J7" i="8"/>
  <c r="I7" i="8"/>
  <c r="R79" i="8" l="1" a="1"/>
  <c r="R79" i="8" s="1"/>
  <c r="Q79" i="8" a="1"/>
  <c r="Q79" i="8" s="1"/>
  <c r="P79" i="8" a="1"/>
  <c r="P79" i="8" s="1"/>
  <c r="P80" i="8" s="1"/>
  <c r="V18" i="8" s="1"/>
  <c r="P35" i="8" a="1"/>
  <c r="P35" i="8" s="1"/>
  <c r="P61" i="8" a="1"/>
  <c r="P61" i="8" s="1"/>
  <c r="R35" i="8" a="1"/>
  <c r="R35" i="8" s="1"/>
  <c r="Q35" i="8" a="1"/>
  <c r="Q35" i="8" s="1"/>
  <c r="P9" i="8" a="1"/>
  <c r="P9" i="8" s="1"/>
  <c r="P67" i="8" a="1"/>
  <c r="P67" i="8" s="1"/>
  <c r="R61" i="8" a="1"/>
  <c r="R61" i="8" s="1"/>
  <c r="P55" i="8" a="1"/>
  <c r="P55" i="8" s="1"/>
  <c r="R49" i="8" a="1"/>
  <c r="R49" i="8" s="1"/>
  <c r="P43" i="8" a="1"/>
  <c r="P43" i="8" s="1"/>
  <c r="P27" i="8" a="1"/>
  <c r="P27" i="8" s="1"/>
  <c r="R21" i="8" a="1"/>
  <c r="R21" i="8" s="1"/>
  <c r="Q73" i="8" a="1"/>
  <c r="Q73" i="8" s="1"/>
  <c r="Q61" i="8" a="1"/>
  <c r="Q61" i="8" s="1"/>
  <c r="Q49" i="8" a="1"/>
  <c r="Q49" i="8" s="1"/>
  <c r="Q21" i="8" a="1"/>
  <c r="Q21" i="8" s="1"/>
  <c r="P22" i="8" s="1"/>
  <c r="P73" i="8" a="1"/>
  <c r="P73" i="8" s="1"/>
  <c r="R67" i="8" a="1"/>
  <c r="R67" i="8" s="1"/>
  <c r="R55" i="8" a="1"/>
  <c r="R55" i="8" s="1"/>
  <c r="P49" i="8" a="1"/>
  <c r="P49" i="8" s="1"/>
  <c r="R43" i="8" a="1"/>
  <c r="R43" i="8" s="1"/>
  <c r="R27" i="8" a="1"/>
  <c r="R27" i="8" s="1"/>
  <c r="P21" i="8" a="1"/>
  <c r="P21" i="8" s="1"/>
  <c r="R15" i="8" a="1"/>
  <c r="R15" i="8" s="1"/>
  <c r="Q67" i="8" a="1"/>
  <c r="Q67" i="8" s="1"/>
  <c r="Q55" i="8" a="1"/>
  <c r="Q55" i="8" s="1"/>
  <c r="Q43" i="8" a="1"/>
  <c r="Q43" i="8" s="1"/>
  <c r="Q27" i="8" a="1"/>
  <c r="Q27" i="8" s="1"/>
  <c r="Q15" i="8" a="1"/>
  <c r="Q15" i="8" s="1"/>
  <c r="R73" i="8" a="1"/>
  <c r="R73" i="8" s="1"/>
  <c r="P15" i="8" a="1"/>
  <c r="P15" i="8" s="1"/>
  <c r="Q9" i="8" a="1"/>
  <c r="Q9" i="8" s="1"/>
  <c r="K7" i="1"/>
  <c r="I315" i="1"/>
  <c r="I316" i="1" s="1"/>
  <c r="I317" i="1" s="1"/>
  <c r="H316" i="1"/>
  <c r="H317" i="1" s="1"/>
  <c r="G315" i="1"/>
  <c r="G316" i="1" s="1"/>
  <c r="G317" i="1" s="1"/>
  <c r="F315" i="1"/>
  <c r="F316" i="1" s="1"/>
  <c r="P319" i="1"/>
  <c r="O319" i="1"/>
  <c r="N319" i="1"/>
  <c r="M319" i="1"/>
  <c r="L319" i="1"/>
  <c r="K319" i="1"/>
  <c r="I319" i="1"/>
  <c r="I320" i="1" s="1"/>
  <c r="H319" i="1"/>
  <c r="H320" i="1" s="1"/>
  <c r="G319" i="1"/>
  <c r="G320" i="1" s="1"/>
  <c r="F319" i="1"/>
  <c r="E319" i="1"/>
  <c r="D319" i="1"/>
  <c r="P316" i="1"/>
  <c r="O316" i="1"/>
  <c r="N316" i="1"/>
  <c r="M316" i="1"/>
  <c r="L316" i="1"/>
  <c r="K316" i="1"/>
  <c r="E316" i="1"/>
  <c r="D316" i="1"/>
  <c r="P313" i="1"/>
  <c r="O313" i="1"/>
  <c r="N313" i="1"/>
  <c r="M313" i="1"/>
  <c r="L313" i="1"/>
  <c r="K313" i="1"/>
  <c r="I313" i="1"/>
  <c r="I314" i="1" s="1"/>
  <c r="H313" i="1"/>
  <c r="H314" i="1" s="1"/>
  <c r="G313" i="1"/>
  <c r="G314" i="1" s="1"/>
  <c r="F313" i="1"/>
  <c r="E313" i="1"/>
  <c r="D313" i="1"/>
  <c r="P310" i="1"/>
  <c r="O310" i="1"/>
  <c r="N310" i="1"/>
  <c r="M310" i="1"/>
  <c r="L310" i="1"/>
  <c r="K310" i="1"/>
  <c r="I310" i="1"/>
  <c r="I311" i="1" s="1"/>
  <c r="H310" i="1"/>
  <c r="H311" i="1" s="1"/>
  <c r="G310" i="1"/>
  <c r="G311" i="1" s="1"/>
  <c r="F310" i="1"/>
  <c r="E310" i="1"/>
  <c r="D310" i="1"/>
  <c r="P307" i="1"/>
  <c r="O307" i="1"/>
  <c r="N307" i="1"/>
  <c r="M307" i="1"/>
  <c r="L307" i="1"/>
  <c r="K307" i="1"/>
  <c r="I307" i="1"/>
  <c r="I308" i="1" s="1"/>
  <c r="H307" i="1"/>
  <c r="H308" i="1" s="1"/>
  <c r="G307" i="1"/>
  <c r="G308" i="1" s="1"/>
  <c r="F307" i="1"/>
  <c r="E307" i="1"/>
  <c r="D307" i="1"/>
  <c r="A306" i="1"/>
  <c r="A309" i="1" s="1"/>
  <c r="A312" i="1" s="1"/>
  <c r="A315" i="1" s="1"/>
  <c r="A318" i="1" s="1"/>
  <c r="P304" i="1"/>
  <c r="O304" i="1"/>
  <c r="N304" i="1"/>
  <c r="M304" i="1"/>
  <c r="L304" i="1"/>
  <c r="K304" i="1"/>
  <c r="I304" i="1"/>
  <c r="I305" i="1" s="1"/>
  <c r="H304" i="1"/>
  <c r="H305" i="1" s="1"/>
  <c r="G304" i="1"/>
  <c r="G305" i="1" s="1"/>
  <c r="F304" i="1"/>
  <c r="E304" i="1"/>
  <c r="D304" i="1"/>
  <c r="P10" i="8" l="1"/>
  <c r="V7" i="8" s="1"/>
  <c r="P44" i="8"/>
  <c r="V12" i="8" s="1"/>
  <c r="V13" i="8"/>
  <c r="P28" i="8"/>
  <c r="V10" i="8" s="1"/>
  <c r="P50" i="8"/>
  <c r="P74" i="8"/>
  <c r="P62" i="8"/>
  <c r="V15" i="8" s="1"/>
  <c r="J317" i="1"/>
  <c r="J308" i="1"/>
  <c r="J311" i="1"/>
  <c r="J314" i="1"/>
  <c r="J320" i="1"/>
  <c r="P68" i="8"/>
  <c r="V16" i="8" s="1"/>
  <c r="P16" i="8"/>
  <c r="V8" i="8" s="1"/>
  <c r="P36" i="8"/>
  <c r="V11" i="8" s="1"/>
  <c r="J305" i="1"/>
  <c r="D317" i="1"/>
  <c r="D314" i="1"/>
  <c r="D305" i="1"/>
  <c r="K314" i="1"/>
  <c r="K317" i="1"/>
  <c r="K320" i="1"/>
  <c r="D320" i="1"/>
  <c r="K311" i="1"/>
  <c r="D311" i="1"/>
  <c r="K308" i="1"/>
  <c r="D308" i="1"/>
  <c r="K305" i="1"/>
  <c r="P299" i="1"/>
  <c r="O299" i="1"/>
  <c r="N299" i="1"/>
  <c r="M299" i="1"/>
  <c r="L299" i="1"/>
  <c r="K299" i="1"/>
  <c r="I299" i="1"/>
  <c r="I300" i="1" s="1"/>
  <c r="H299" i="1"/>
  <c r="H300" i="1" s="1"/>
  <c r="G299" i="1"/>
  <c r="G300" i="1" s="1"/>
  <c r="F299" i="1"/>
  <c r="E299" i="1"/>
  <c r="D299" i="1"/>
  <c r="P296" i="1"/>
  <c r="O296" i="1"/>
  <c r="N296" i="1"/>
  <c r="M296" i="1"/>
  <c r="L296" i="1"/>
  <c r="K296" i="1"/>
  <c r="G296" i="1"/>
  <c r="G297" i="1" s="1"/>
  <c r="E296" i="1"/>
  <c r="D296" i="1"/>
  <c r="I296" i="1"/>
  <c r="I297" i="1" s="1"/>
  <c r="H296" i="1"/>
  <c r="H297" i="1" s="1"/>
  <c r="F296" i="1"/>
  <c r="A292" i="1"/>
  <c r="P293" i="1"/>
  <c r="O293" i="1"/>
  <c r="N293" i="1"/>
  <c r="M293" i="1"/>
  <c r="L293" i="1"/>
  <c r="K293" i="1"/>
  <c r="I293" i="1"/>
  <c r="I294" i="1" s="1"/>
  <c r="H293" i="1"/>
  <c r="H294" i="1" s="1"/>
  <c r="G293" i="1"/>
  <c r="G294" i="1" s="1"/>
  <c r="E293" i="1"/>
  <c r="D293" i="1"/>
  <c r="F293" i="1"/>
  <c r="F268" i="1"/>
  <c r="F269" i="1" s="1"/>
  <c r="F265" i="1"/>
  <c r="F266" i="1" s="1"/>
  <c r="I268" i="1"/>
  <c r="I269" i="1" s="1"/>
  <c r="I270" i="1" s="1"/>
  <c r="I279" i="1"/>
  <c r="G268" i="1" s="1"/>
  <c r="G269" i="1" s="1"/>
  <c r="G270" i="1" s="1"/>
  <c r="H268" i="1"/>
  <c r="H269" i="1" s="1"/>
  <c r="H270" i="1" s="1"/>
  <c r="I274" i="1"/>
  <c r="G265" i="1" s="1"/>
  <c r="G266" i="1" s="1"/>
  <c r="G267" i="1" s="1"/>
  <c r="H265" i="1"/>
  <c r="H266" i="1" s="1"/>
  <c r="H267" i="1" s="1"/>
  <c r="G274" i="1"/>
  <c r="I265" i="1" s="1"/>
  <c r="I266" i="1" s="1"/>
  <c r="I267" i="1" s="1"/>
  <c r="P269" i="1"/>
  <c r="O269" i="1"/>
  <c r="N269" i="1"/>
  <c r="M269" i="1"/>
  <c r="L269" i="1"/>
  <c r="K269" i="1"/>
  <c r="E269" i="1"/>
  <c r="D269" i="1"/>
  <c r="A295" i="1"/>
  <c r="A298" i="1" s="1"/>
  <c r="P266" i="1"/>
  <c r="O266" i="1"/>
  <c r="N266" i="1"/>
  <c r="M266" i="1"/>
  <c r="L266" i="1"/>
  <c r="K266" i="1"/>
  <c r="E266" i="1"/>
  <c r="D266" i="1"/>
  <c r="J294" i="1" l="1"/>
  <c r="K267" i="1"/>
  <c r="J270" i="1"/>
  <c r="J297" i="1"/>
  <c r="J300" i="1"/>
  <c r="J267" i="1"/>
  <c r="K297" i="1"/>
  <c r="K294" i="1"/>
  <c r="K270" i="1"/>
  <c r="D294" i="1"/>
  <c r="D300" i="1"/>
  <c r="K300" i="1"/>
  <c r="D297" i="1"/>
  <c r="D270" i="1"/>
  <c r="D267" i="1"/>
  <c r="P261" i="1"/>
  <c r="O261" i="1"/>
  <c r="N261" i="1"/>
  <c r="M261" i="1"/>
  <c r="L261" i="1"/>
  <c r="K261" i="1"/>
  <c r="I261" i="1"/>
  <c r="I262" i="1" s="1"/>
  <c r="H261" i="1"/>
  <c r="H262" i="1" s="1"/>
  <c r="G261" i="1"/>
  <c r="G262" i="1" s="1"/>
  <c r="F261" i="1"/>
  <c r="E261" i="1"/>
  <c r="D261" i="1"/>
  <c r="P258" i="1"/>
  <c r="O258" i="1"/>
  <c r="N258" i="1"/>
  <c r="M258" i="1"/>
  <c r="L258" i="1"/>
  <c r="K258" i="1"/>
  <c r="I258" i="1"/>
  <c r="I259" i="1" s="1"/>
  <c r="H258" i="1"/>
  <c r="H259" i="1" s="1"/>
  <c r="G258" i="1"/>
  <c r="G259" i="1" s="1"/>
  <c r="F258" i="1"/>
  <c r="E258" i="1"/>
  <c r="D258" i="1"/>
  <c r="P255" i="1"/>
  <c r="O255" i="1"/>
  <c r="N255" i="1"/>
  <c r="M255" i="1"/>
  <c r="L255" i="1"/>
  <c r="K255" i="1"/>
  <c r="I255" i="1"/>
  <c r="I256" i="1" s="1"/>
  <c r="H255" i="1"/>
  <c r="H256" i="1" s="1"/>
  <c r="G255" i="1"/>
  <c r="G256" i="1" s="1"/>
  <c r="F255" i="1"/>
  <c r="E255" i="1"/>
  <c r="D255" i="1"/>
  <c r="J256" i="1" l="1"/>
  <c r="J259" i="1"/>
  <c r="J262" i="1"/>
  <c r="K262" i="1"/>
  <c r="D256" i="1"/>
  <c r="K259" i="1"/>
  <c r="K256" i="1"/>
  <c r="D259" i="1"/>
  <c r="D262" i="1"/>
  <c r="P252" i="1"/>
  <c r="O252" i="1"/>
  <c r="N252" i="1"/>
  <c r="M252" i="1"/>
  <c r="L252" i="1"/>
  <c r="K252" i="1"/>
  <c r="I252" i="1"/>
  <c r="I253" i="1" s="1"/>
  <c r="H252" i="1"/>
  <c r="H253" i="1" s="1"/>
  <c r="G252" i="1"/>
  <c r="G253" i="1" s="1"/>
  <c r="E252" i="1"/>
  <c r="D252" i="1"/>
  <c r="P249" i="1"/>
  <c r="O249" i="1"/>
  <c r="N249" i="1"/>
  <c r="M249" i="1"/>
  <c r="L249" i="1"/>
  <c r="K249" i="1"/>
  <c r="I249" i="1"/>
  <c r="I250" i="1" s="1"/>
  <c r="H249" i="1"/>
  <c r="H250" i="1" s="1"/>
  <c r="G249" i="1"/>
  <c r="G250" i="1" s="1"/>
  <c r="F249" i="1"/>
  <c r="E249" i="1"/>
  <c r="D249" i="1"/>
  <c r="P246" i="1"/>
  <c r="O246" i="1"/>
  <c r="N246" i="1"/>
  <c r="M246" i="1"/>
  <c r="L246" i="1"/>
  <c r="K246" i="1"/>
  <c r="I246" i="1"/>
  <c r="I247" i="1" s="1"/>
  <c r="H246" i="1"/>
  <c r="H247" i="1" s="1"/>
  <c r="G246" i="1"/>
  <c r="G247" i="1" s="1"/>
  <c r="F246" i="1"/>
  <c r="E246" i="1"/>
  <c r="D246" i="1"/>
  <c r="P243" i="1"/>
  <c r="O243" i="1"/>
  <c r="N243" i="1"/>
  <c r="M243" i="1"/>
  <c r="L243" i="1"/>
  <c r="K243" i="1"/>
  <c r="I243" i="1"/>
  <c r="I244" i="1" s="1"/>
  <c r="H243" i="1"/>
  <c r="H244" i="1" s="1"/>
  <c r="G243" i="1"/>
  <c r="G244" i="1" s="1"/>
  <c r="F243" i="1"/>
  <c r="E243" i="1"/>
  <c r="D243" i="1"/>
  <c r="P240" i="1"/>
  <c r="O240" i="1"/>
  <c r="N240" i="1"/>
  <c r="M240" i="1"/>
  <c r="L240" i="1"/>
  <c r="K240" i="1"/>
  <c r="I240" i="1"/>
  <c r="I241" i="1" s="1"/>
  <c r="H240" i="1"/>
  <c r="H241" i="1" s="1"/>
  <c r="G240" i="1"/>
  <c r="G241" i="1" s="1"/>
  <c r="F240" i="1"/>
  <c r="E240" i="1"/>
  <c r="D240" i="1"/>
  <c r="A236" i="1"/>
  <c r="A242" i="1" s="1"/>
  <c r="A248" i="1" s="1"/>
  <c r="A254" i="1" s="1"/>
  <c r="A260" i="1" s="1"/>
  <c r="P237" i="1"/>
  <c r="O237" i="1"/>
  <c r="N237" i="1"/>
  <c r="M237" i="1"/>
  <c r="L237" i="1"/>
  <c r="K237" i="1"/>
  <c r="I237" i="1"/>
  <c r="I238" i="1" s="1"/>
  <c r="H237" i="1"/>
  <c r="H238" i="1" s="1"/>
  <c r="G237" i="1"/>
  <c r="G238" i="1" s="1"/>
  <c r="F237" i="1"/>
  <c r="E237" i="1"/>
  <c r="D237" i="1"/>
  <c r="G225" i="1"/>
  <c r="I232" i="1" s="1"/>
  <c r="N225" i="1"/>
  <c r="G235" i="1" s="1"/>
  <c r="M225" i="1"/>
  <c r="H235" i="1" s="1"/>
  <c r="L225" i="1"/>
  <c r="I235" i="1" s="1"/>
  <c r="F233" i="1"/>
  <c r="F234" i="1" s="1"/>
  <c r="I225" i="1"/>
  <c r="H230" i="1"/>
  <c r="F230" i="1"/>
  <c r="F231" i="1" s="1"/>
  <c r="P234" i="1"/>
  <c r="O234" i="1"/>
  <c r="N234" i="1"/>
  <c r="M234" i="1"/>
  <c r="L234" i="1"/>
  <c r="K234" i="1"/>
  <c r="E234" i="1"/>
  <c r="D234" i="1"/>
  <c r="A233" i="1"/>
  <c r="A239" i="1" s="1"/>
  <c r="A245" i="1" s="1"/>
  <c r="A251" i="1" s="1"/>
  <c r="A257" i="1" s="1"/>
  <c r="P231" i="1"/>
  <c r="O231" i="1"/>
  <c r="N231" i="1"/>
  <c r="M231" i="1"/>
  <c r="L231" i="1"/>
  <c r="K231" i="1"/>
  <c r="E231" i="1"/>
  <c r="D231" i="1"/>
  <c r="G230" i="1" l="1"/>
  <c r="G231" i="1" s="1"/>
  <c r="G232" i="1"/>
  <c r="J238" i="1"/>
  <c r="K244" i="1"/>
  <c r="J241" i="1"/>
  <c r="J244" i="1"/>
  <c r="J247" i="1"/>
  <c r="J250" i="1"/>
  <c r="J253" i="1"/>
  <c r="D241" i="1"/>
  <c r="K232" i="1"/>
  <c r="K238" i="1"/>
  <c r="D247" i="1"/>
  <c r="D253" i="1"/>
  <c r="H232" i="1"/>
  <c r="I233" i="1"/>
  <c r="I234" i="1" s="1"/>
  <c r="H233" i="1"/>
  <c r="H234" i="1" s="1"/>
  <c r="D244" i="1"/>
  <c r="K250" i="1"/>
  <c r="I230" i="1"/>
  <c r="I231" i="1" s="1"/>
  <c r="G233" i="1"/>
  <c r="G234" i="1" s="1"/>
  <c r="D250" i="1"/>
  <c r="K253" i="1"/>
  <c r="K247" i="1"/>
  <c r="K241" i="1"/>
  <c r="D238" i="1"/>
  <c r="H231" i="1"/>
  <c r="D235" i="1"/>
  <c r="D232" i="1"/>
  <c r="K235" i="1"/>
  <c r="H219" i="1"/>
  <c r="H201" i="1" s="1"/>
  <c r="I219" i="1"/>
  <c r="G201" i="1" s="1"/>
  <c r="G204" i="1" s="1"/>
  <c r="G205" i="1" s="1"/>
  <c r="G206" i="1" s="1"/>
  <c r="G219" i="1"/>
  <c r="I201" i="1" s="1"/>
  <c r="F17" i="6"/>
  <c r="F14" i="6"/>
  <c r="G14" i="6"/>
  <c r="H14" i="6"/>
  <c r="F15" i="6"/>
  <c r="G15" i="6"/>
  <c r="H15" i="6"/>
  <c r="F16" i="6"/>
  <c r="G16" i="6"/>
  <c r="H16" i="6"/>
  <c r="G17" i="6"/>
  <c r="H17" i="6"/>
  <c r="G13" i="6"/>
  <c r="H13" i="6"/>
  <c r="F13" i="6"/>
  <c r="F9" i="6"/>
  <c r="G9" i="6"/>
  <c r="H9" i="6"/>
  <c r="F10" i="6"/>
  <c r="G10" i="6"/>
  <c r="H10" i="6"/>
  <c r="F11" i="6"/>
  <c r="G11" i="6"/>
  <c r="H11" i="6"/>
  <c r="F12" i="6"/>
  <c r="G12" i="6"/>
  <c r="H12" i="6"/>
  <c r="G8" i="6"/>
  <c r="H8" i="6"/>
  <c r="F8" i="6"/>
  <c r="P214" i="1"/>
  <c r="O214" i="1"/>
  <c r="N214" i="1"/>
  <c r="M214" i="1"/>
  <c r="L214" i="1"/>
  <c r="K214" i="1"/>
  <c r="I214" i="1"/>
  <c r="I215" i="1" s="1"/>
  <c r="H214" i="1"/>
  <c r="H215" i="1" s="1"/>
  <c r="G214" i="1"/>
  <c r="G215" i="1" s="1"/>
  <c r="E214" i="1"/>
  <c r="D214" i="1"/>
  <c r="F214" i="1"/>
  <c r="P211" i="1"/>
  <c r="O211" i="1"/>
  <c r="N211" i="1"/>
  <c r="M211" i="1"/>
  <c r="L211" i="1"/>
  <c r="K211" i="1"/>
  <c r="I211" i="1"/>
  <c r="I212" i="1" s="1"/>
  <c r="H211" i="1"/>
  <c r="H212" i="1" s="1"/>
  <c r="G211" i="1"/>
  <c r="G212" i="1" s="1"/>
  <c r="J212" i="1" s="1"/>
  <c r="E211" i="1"/>
  <c r="D211" i="1"/>
  <c r="F211" i="1"/>
  <c r="P208" i="1"/>
  <c r="O208" i="1"/>
  <c r="N208" i="1"/>
  <c r="M208" i="1"/>
  <c r="L208" i="1"/>
  <c r="K208" i="1"/>
  <c r="I208" i="1"/>
  <c r="I209" i="1" s="1"/>
  <c r="H208" i="1"/>
  <c r="H209" i="1" s="1"/>
  <c r="G208" i="1"/>
  <c r="G209" i="1" s="1"/>
  <c r="J209" i="1" s="1"/>
  <c r="F208" i="1"/>
  <c r="E208" i="1"/>
  <c r="D208" i="1"/>
  <c r="F204" i="1"/>
  <c r="A204" i="1"/>
  <c r="A207" i="1" s="1"/>
  <c r="A210" i="1" s="1"/>
  <c r="A213" i="1" s="1"/>
  <c r="P205" i="1"/>
  <c r="O205" i="1"/>
  <c r="N205" i="1"/>
  <c r="M205" i="1"/>
  <c r="L205" i="1"/>
  <c r="K205" i="1"/>
  <c r="F205" i="1"/>
  <c r="E205" i="1"/>
  <c r="D205" i="1"/>
  <c r="P197" i="1"/>
  <c r="O197" i="1"/>
  <c r="N197" i="1"/>
  <c r="M197" i="1"/>
  <c r="L197" i="1"/>
  <c r="K197" i="1"/>
  <c r="I197" i="1"/>
  <c r="I198" i="1" s="1"/>
  <c r="H197" i="1"/>
  <c r="H198" i="1" s="1"/>
  <c r="G197" i="1"/>
  <c r="G198" i="1" s="1"/>
  <c r="F197" i="1"/>
  <c r="E197" i="1"/>
  <c r="D197" i="1"/>
  <c r="P202" i="1"/>
  <c r="O202" i="1"/>
  <c r="N202" i="1"/>
  <c r="M202" i="1"/>
  <c r="L202" i="1"/>
  <c r="K202" i="1"/>
  <c r="F202" i="1"/>
  <c r="E202" i="1"/>
  <c r="D202" i="1"/>
  <c r="K209" i="1" l="1"/>
  <c r="J215" i="1"/>
  <c r="J198" i="1"/>
  <c r="K198" i="1"/>
  <c r="G202" i="1"/>
  <c r="G203" i="1" s="1"/>
  <c r="K203" i="1"/>
  <c r="K212" i="1"/>
  <c r="D198" i="1"/>
  <c r="H204" i="1"/>
  <c r="H205" i="1" s="1"/>
  <c r="H206" i="1" s="1"/>
  <c r="H202" i="1"/>
  <c r="H203" i="1" s="1"/>
  <c r="I202" i="1"/>
  <c r="I203" i="1" s="1"/>
  <c r="I204" i="1"/>
  <c r="I205" i="1" s="1"/>
  <c r="I206" i="1" s="1"/>
  <c r="D206" i="1"/>
  <c r="D209" i="1"/>
  <c r="K206" i="1"/>
  <c r="K215" i="1"/>
  <c r="D212" i="1"/>
  <c r="D215" i="1"/>
  <c r="D203" i="1"/>
  <c r="F161" i="1"/>
  <c r="F160" i="1"/>
  <c r="F159" i="1"/>
  <c r="F157" i="1"/>
  <c r="F156" i="1"/>
  <c r="F155" i="1"/>
  <c r="F153" i="1"/>
  <c r="F152" i="1"/>
  <c r="F151" i="1"/>
  <c r="E165" i="1" s="1"/>
  <c r="F148" i="1"/>
  <c r="F149" i="1"/>
  <c r="E167" i="1" l="1"/>
  <c r="E164" i="1"/>
  <c r="F164" i="1" s="1"/>
  <c r="E166" i="1"/>
  <c r="F166" i="1" s="1"/>
  <c r="J206" i="1"/>
  <c r="J203" i="1"/>
  <c r="P194" i="1"/>
  <c r="O194" i="1"/>
  <c r="N194" i="1"/>
  <c r="M194" i="1"/>
  <c r="L194" i="1"/>
  <c r="K194" i="1"/>
  <c r="I194" i="1"/>
  <c r="I195" i="1" s="1"/>
  <c r="H194" i="1"/>
  <c r="H195" i="1" s="1"/>
  <c r="G194" i="1"/>
  <c r="G195" i="1" s="1"/>
  <c r="F194" i="1"/>
  <c r="E194" i="1"/>
  <c r="D194" i="1"/>
  <c r="P191" i="1"/>
  <c r="O191" i="1"/>
  <c r="N191" i="1"/>
  <c r="M191" i="1"/>
  <c r="L191" i="1"/>
  <c r="K191" i="1"/>
  <c r="I191" i="1"/>
  <c r="I192" i="1" s="1"/>
  <c r="H191" i="1"/>
  <c r="H192" i="1" s="1"/>
  <c r="G191" i="1"/>
  <c r="G192" i="1" s="1"/>
  <c r="F191" i="1"/>
  <c r="E191" i="1"/>
  <c r="D191" i="1"/>
  <c r="A187" i="1"/>
  <c r="P188" i="1"/>
  <c r="O188" i="1"/>
  <c r="N188" i="1"/>
  <c r="M188" i="1"/>
  <c r="L188" i="1"/>
  <c r="K188" i="1"/>
  <c r="I188" i="1"/>
  <c r="I189" i="1" s="1"/>
  <c r="H188" i="1"/>
  <c r="H189" i="1" s="1"/>
  <c r="G188" i="1"/>
  <c r="G189" i="1" s="1"/>
  <c r="F188" i="1"/>
  <c r="E188" i="1"/>
  <c r="D188" i="1"/>
  <c r="A21" i="1"/>
  <c r="A24" i="1" s="1"/>
  <c r="A27" i="1" s="1"/>
  <c r="A9" i="1"/>
  <c r="A12" i="1" s="1"/>
  <c r="A15" i="1" s="1"/>
  <c r="A33" i="1"/>
  <c r="A36" i="1" s="1"/>
  <c r="A39" i="1" s="1"/>
  <c r="A42" i="1" s="1"/>
  <c r="A45" i="1" s="1"/>
  <c r="A48" i="1" s="1"/>
  <c r="A58" i="1"/>
  <c r="A61" i="1" s="1"/>
  <c r="A64" i="1" s="1"/>
  <c r="A67" i="1" s="1"/>
  <c r="A70" i="1" s="1"/>
  <c r="A73" i="1" s="1"/>
  <c r="A76" i="1" s="1"/>
  <c r="A79" i="1" s="1"/>
  <c r="A101" i="1"/>
  <c r="A108" i="1"/>
  <c r="A111" i="1" s="1"/>
  <c r="A114" i="1" s="1"/>
  <c r="A117" i="1" s="1"/>
  <c r="A120" i="1" s="1"/>
  <c r="A123" i="1" s="1"/>
  <c r="A126" i="1" s="1"/>
  <c r="P184" i="1"/>
  <c r="O184" i="1"/>
  <c r="N184" i="1"/>
  <c r="M184" i="1"/>
  <c r="L184" i="1"/>
  <c r="K184" i="1"/>
  <c r="I184" i="1"/>
  <c r="I185" i="1" s="1"/>
  <c r="H184" i="1"/>
  <c r="H185" i="1" s="1"/>
  <c r="G184" i="1"/>
  <c r="G185" i="1" s="1"/>
  <c r="F184" i="1"/>
  <c r="E184" i="1"/>
  <c r="D184" i="1"/>
  <c r="P181" i="1"/>
  <c r="O181" i="1"/>
  <c r="N181" i="1"/>
  <c r="M181" i="1"/>
  <c r="L181" i="1"/>
  <c r="K181" i="1"/>
  <c r="I181" i="1"/>
  <c r="I182" i="1" s="1"/>
  <c r="H181" i="1"/>
  <c r="H182" i="1" s="1"/>
  <c r="G181" i="1"/>
  <c r="G182" i="1" s="1"/>
  <c r="F181" i="1"/>
  <c r="E181" i="1"/>
  <c r="D181" i="1"/>
  <c r="P178" i="1"/>
  <c r="O178" i="1"/>
  <c r="N178" i="1"/>
  <c r="M178" i="1"/>
  <c r="L178" i="1"/>
  <c r="K178" i="1"/>
  <c r="I178" i="1"/>
  <c r="I179" i="1" s="1"/>
  <c r="H178" i="1"/>
  <c r="H179" i="1" s="1"/>
  <c r="G178" i="1"/>
  <c r="G179" i="1" s="1"/>
  <c r="F178" i="1"/>
  <c r="E178" i="1"/>
  <c r="D178" i="1"/>
  <c r="P175" i="1"/>
  <c r="O175" i="1"/>
  <c r="N175" i="1"/>
  <c r="M175" i="1"/>
  <c r="L175" i="1"/>
  <c r="K175" i="1"/>
  <c r="I175" i="1"/>
  <c r="I176" i="1" s="1"/>
  <c r="H175" i="1"/>
  <c r="H176" i="1" s="1"/>
  <c r="G175" i="1"/>
  <c r="G176" i="1" s="1"/>
  <c r="F175" i="1"/>
  <c r="E175" i="1"/>
  <c r="D175" i="1"/>
  <c r="A174" i="1"/>
  <c r="A190" i="1" s="1"/>
  <c r="P172" i="1"/>
  <c r="O172" i="1"/>
  <c r="N172" i="1"/>
  <c r="M172" i="1"/>
  <c r="L172" i="1"/>
  <c r="K172" i="1"/>
  <c r="I172" i="1"/>
  <c r="I173" i="1" s="1"/>
  <c r="H172" i="1"/>
  <c r="H173" i="1" s="1"/>
  <c r="G172" i="1"/>
  <c r="G173" i="1" s="1"/>
  <c r="F172" i="1"/>
  <c r="E172" i="1"/>
  <c r="D172" i="1"/>
  <c r="A133" i="1"/>
  <c r="A136" i="1" s="1"/>
  <c r="A139" i="1" s="1"/>
  <c r="A142" i="1" s="1"/>
  <c r="P143" i="1"/>
  <c r="O143" i="1"/>
  <c r="N143" i="1"/>
  <c r="M143" i="1"/>
  <c r="L143" i="1"/>
  <c r="K143" i="1"/>
  <c r="I143" i="1"/>
  <c r="I144" i="1" s="1"/>
  <c r="H143" i="1"/>
  <c r="H144" i="1" s="1"/>
  <c r="G143" i="1"/>
  <c r="G144" i="1" s="1"/>
  <c r="F143" i="1"/>
  <c r="E143" i="1"/>
  <c r="D143" i="1"/>
  <c r="P140" i="1"/>
  <c r="O140" i="1"/>
  <c r="N140" i="1"/>
  <c r="M140" i="1"/>
  <c r="L140" i="1"/>
  <c r="K140" i="1"/>
  <c r="I140" i="1"/>
  <c r="I141" i="1" s="1"/>
  <c r="H140" i="1"/>
  <c r="H141" i="1" s="1"/>
  <c r="G140" i="1"/>
  <c r="G141" i="1" s="1"/>
  <c r="F140" i="1"/>
  <c r="E140" i="1"/>
  <c r="D140" i="1"/>
  <c r="P137" i="1"/>
  <c r="O137" i="1"/>
  <c r="N137" i="1"/>
  <c r="M137" i="1"/>
  <c r="L137" i="1"/>
  <c r="K137" i="1"/>
  <c r="I137" i="1"/>
  <c r="I138" i="1" s="1"/>
  <c r="H137" i="1"/>
  <c r="H138" i="1" s="1"/>
  <c r="G137" i="1"/>
  <c r="G138" i="1" s="1"/>
  <c r="F137" i="1"/>
  <c r="E137" i="1"/>
  <c r="D137" i="1"/>
  <c r="P134" i="1"/>
  <c r="O134" i="1"/>
  <c r="N134" i="1"/>
  <c r="M134" i="1"/>
  <c r="L134" i="1"/>
  <c r="K134" i="1"/>
  <c r="I134" i="1"/>
  <c r="I135" i="1" s="1"/>
  <c r="H134" i="1"/>
  <c r="H135" i="1" s="1"/>
  <c r="G134" i="1"/>
  <c r="G135" i="1" s="1"/>
  <c r="F134" i="1"/>
  <c r="E134" i="1"/>
  <c r="D134" i="1"/>
  <c r="P131" i="1"/>
  <c r="O131" i="1"/>
  <c r="N131" i="1"/>
  <c r="M131" i="1"/>
  <c r="L131" i="1"/>
  <c r="K131" i="1"/>
  <c r="I131" i="1"/>
  <c r="I132" i="1" s="1"/>
  <c r="H131" i="1"/>
  <c r="H132" i="1" s="1"/>
  <c r="G131" i="1"/>
  <c r="G132" i="1" s="1"/>
  <c r="F131" i="1"/>
  <c r="E131" i="1"/>
  <c r="D131" i="1"/>
  <c r="P127" i="1"/>
  <c r="O127" i="1"/>
  <c r="N127" i="1"/>
  <c r="M127" i="1"/>
  <c r="L127" i="1"/>
  <c r="K127" i="1"/>
  <c r="I127" i="1"/>
  <c r="I128" i="1" s="1"/>
  <c r="H127" i="1"/>
  <c r="H128" i="1" s="1"/>
  <c r="G127" i="1"/>
  <c r="G128" i="1" s="1"/>
  <c r="F127" i="1"/>
  <c r="E127" i="1"/>
  <c r="D127" i="1"/>
  <c r="P124" i="1"/>
  <c r="O124" i="1"/>
  <c r="N124" i="1"/>
  <c r="M124" i="1"/>
  <c r="L124" i="1"/>
  <c r="K124" i="1"/>
  <c r="I124" i="1"/>
  <c r="I125" i="1" s="1"/>
  <c r="H124" i="1"/>
  <c r="H125" i="1" s="1"/>
  <c r="G124" i="1"/>
  <c r="G125" i="1" s="1"/>
  <c r="F124" i="1"/>
  <c r="E124" i="1"/>
  <c r="D124" i="1"/>
  <c r="P121" i="1"/>
  <c r="O121" i="1"/>
  <c r="N121" i="1"/>
  <c r="M121" i="1"/>
  <c r="L121" i="1"/>
  <c r="K121" i="1"/>
  <c r="I121" i="1"/>
  <c r="I122" i="1" s="1"/>
  <c r="H121" i="1"/>
  <c r="H122" i="1" s="1"/>
  <c r="G121" i="1"/>
  <c r="G122" i="1" s="1"/>
  <c r="F121" i="1"/>
  <c r="E121" i="1"/>
  <c r="D121" i="1"/>
  <c r="P118" i="1"/>
  <c r="O118" i="1"/>
  <c r="N118" i="1"/>
  <c r="M118" i="1"/>
  <c r="L118" i="1"/>
  <c r="K118" i="1"/>
  <c r="I118" i="1"/>
  <c r="I119" i="1" s="1"/>
  <c r="H118" i="1"/>
  <c r="H119" i="1" s="1"/>
  <c r="G118" i="1"/>
  <c r="G119" i="1" s="1"/>
  <c r="F118" i="1"/>
  <c r="E118" i="1"/>
  <c r="D118" i="1"/>
  <c r="P115" i="1"/>
  <c r="O115" i="1"/>
  <c r="N115" i="1"/>
  <c r="M115" i="1"/>
  <c r="L115" i="1"/>
  <c r="K115" i="1"/>
  <c r="I115" i="1"/>
  <c r="I116" i="1" s="1"/>
  <c r="H115" i="1"/>
  <c r="H116" i="1" s="1"/>
  <c r="G115" i="1"/>
  <c r="G116" i="1" s="1"/>
  <c r="F115" i="1"/>
  <c r="E115" i="1"/>
  <c r="D115" i="1"/>
  <c r="P112" i="1"/>
  <c r="O112" i="1"/>
  <c r="N112" i="1"/>
  <c r="M112" i="1"/>
  <c r="L112" i="1"/>
  <c r="K112" i="1"/>
  <c r="I112" i="1"/>
  <c r="I113" i="1" s="1"/>
  <c r="H112" i="1"/>
  <c r="H113" i="1" s="1"/>
  <c r="G112" i="1"/>
  <c r="G113" i="1" s="1"/>
  <c r="F112" i="1"/>
  <c r="E112" i="1"/>
  <c r="D112" i="1"/>
  <c r="P109" i="1"/>
  <c r="O109" i="1"/>
  <c r="N109" i="1"/>
  <c r="M109" i="1"/>
  <c r="L109" i="1"/>
  <c r="K109" i="1"/>
  <c r="I109" i="1"/>
  <c r="I110" i="1" s="1"/>
  <c r="H109" i="1"/>
  <c r="H110" i="1" s="1"/>
  <c r="G109" i="1"/>
  <c r="G110" i="1" s="1"/>
  <c r="F109" i="1"/>
  <c r="E109" i="1"/>
  <c r="D109" i="1"/>
  <c r="P106" i="1"/>
  <c r="O106" i="1"/>
  <c r="N106" i="1"/>
  <c r="M106" i="1"/>
  <c r="L106" i="1"/>
  <c r="K106" i="1"/>
  <c r="I106" i="1"/>
  <c r="I107" i="1" s="1"/>
  <c r="H106" i="1"/>
  <c r="H107" i="1" s="1"/>
  <c r="G106" i="1"/>
  <c r="G107" i="1" s="1"/>
  <c r="F106" i="1"/>
  <c r="E106" i="1"/>
  <c r="D106" i="1"/>
  <c r="P102" i="1"/>
  <c r="O102" i="1"/>
  <c r="N102" i="1"/>
  <c r="M102" i="1"/>
  <c r="L102" i="1"/>
  <c r="K102" i="1"/>
  <c r="I102" i="1"/>
  <c r="I103" i="1" s="1"/>
  <c r="H102" i="1"/>
  <c r="H103" i="1" s="1"/>
  <c r="G102" i="1"/>
  <c r="G103" i="1" s="1"/>
  <c r="F102" i="1"/>
  <c r="E102" i="1"/>
  <c r="D102" i="1"/>
  <c r="P99" i="1"/>
  <c r="O99" i="1"/>
  <c r="N99" i="1"/>
  <c r="M99" i="1"/>
  <c r="L99" i="1"/>
  <c r="K99" i="1"/>
  <c r="I99" i="1"/>
  <c r="I100" i="1" s="1"/>
  <c r="H99" i="1"/>
  <c r="H100" i="1" s="1"/>
  <c r="G99" i="1"/>
  <c r="G100" i="1" s="1"/>
  <c r="F99" i="1"/>
  <c r="E99" i="1"/>
  <c r="D99" i="1"/>
  <c r="J100" i="1" l="1"/>
  <c r="J103" i="1"/>
  <c r="J125" i="1"/>
  <c r="J128" i="1"/>
  <c r="F167" i="1"/>
  <c r="F165" i="1"/>
  <c r="J107" i="1"/>
  <c r="J110" i="1"/>
  <c r="J113" i="1"/>
  <c r="J116" i="1"/>
  <c r="J119" i="1"/>
  <c r="J122" i="1"/>
  <c r="J132" i="1"/>
  <c r="J135" i="1"/>
  <c r="J138" i="1"/>
  <c r="J141" i="1"/>
  <c r="J144" i="1"/>
  <c r="J189" i="1"/>
  <c r="K192" i="1"/>
  <c r="J173" i="1"/>
  <c r="J192" i="1"/>
  <c r="J195" i="1"/>
  <c r="J176" i="1"/>
  <c r="J179" i="1"/>
  <c r="J182" i="1"/>
  <c r="J185" i="1"/>
  <c r="D103" i="1"/>
  <c r="K173" i="1"/>
  <c r="D110" i="1"/>
  <c r="D122" i="1"/>
  <c r="D128" i="1"/>
  <c r="K100" i="1"/>
  <c r="K107" i="1"/>
  <c r="K113" i="1"/>
  <c r="K119" i="1"/>
  <c r="K125" i="1"/>
  <c r="K132" i="1"/>
  <c r="K138" i="1"/>
  <c r="K144" i="1"/>
  <c r="A177" i="1"/>
  <c r="A180" i="1" s="1"/>
  <c r="D144" i="1"/>
  <c r="K176" i="1"/>
  <c r="K195" i="1"/>
  <c r="D189" i="1"/>
  <c r="K179" i="1"/>
  <c r="K185" i="1"/>
  <c r="D179" i="1"/>
  <c r="K182" i="1"/>
  <c r="K189" i="1"/>
  <c r="D176" i="1"/>
  <c r="K103" i="1"/>
  <c r="K110" i="1"/>
  <c r="K116" i="1"/>
  <c r="K122" i="1"/>
  <c r="K128" i="1"/>
  <c r="K135" i="1"/>
  <c r="K141" i="1"/>
  <c r="D195" i="1"/>
  <c r="D192" i="1"/>
  <c r="D185" i="1"/>
  <c r="D182" i="1"/>
  <c r="D173" i="1"/>
  <c r="D135" i="1"/>
  <c r="D141" i="1"/>
  <c r="D107" i="1"/>
  <c r="D138" i="1"/>
  <c r="D100" i="1"/>
  <c r="D119" i="1"/>
  <c r="D132" i="1"/>
  <c r="D125" i="1"/>
  <c r="D116" i="1"/>
  <c r="D113" i="1"/>
  <c r="A193" i="1" l="1"/>
  <c r="A183" i="1"/>
  <c r="A196" i="1"/>
  <c r="D22" i="1"/>
  <c r="I95" i="1" l="1"/>
  <c r="H95" i="1"/>
  <c r="G95" i="1"/>
  <c r="F95" i="1"/>
  <c r="E95" i="1"/>
  <c r="D95" i="1"/>
  <c r="I92" i="1"/>
  <c r="I93" i="1" s="1"/>
  <c r="H92" i="1"/>
  <c r="H93" i="1" s="1"/>
  <c r="G92" i="1"/>
  <c r="G93" i="1" s="1"/>
  <c r="F92" i="1"/>
  <c r="E92" i="1"/>
  <c r="D92" i="1"/>
  <c r="I89" i="1"/>
  <c r="H89" i="1"/>
  <c r="G89" i="1"/>
  <c r="F89" i="1"/>
  <c r="E89" i="1"/>
  <c r="D89" i="1"/>
  <c r="I86" i="1"/>
  <c r="I87" i="1" s="1"/>
  <c r="H86" i="1"/>
  <c r="H87" i="1" s="1"/>
  <c r="G86" i="1"/>
  <c r="G87" i="1" s="1"/>
  <c r="F86" i="1"/>
  <c r="E86" i="1"/>
  <c r="D86" i="1"/>
  <c r="J87" i="1" l="1"/>
  <c r="J93" i="1"/>
  <c r="D90" i="1"/>
  <c r="D96" i="1"/>
  <c r="D93" i="1"/>
  <c r="D87" i="1"/>
  <c r="D7" i="1"/>
  <c r="P80" i="1" l="1"/>
  <c r="O80" i="1"/>
  <c r="N80" i="1"/>
  <c r="M80" i="1"/>
  <c r="L80" i="1"/>
  <c r="K80" i="1"/>
  <c r="I80" i="1"/>
  <c r="I81" i="1" s="1"/>
  <c r="H80" i="1"/>
  <c r="H81" i="1" s="1"/>
  <c r="G80" i="1"/>
  <c r="G81" i="1" s="1"/>
  <c r="F80" i="1"/>
  <c r="E80" i="1"/>
  <c r="D80" i="1"/>
  <c r="P77" i="1"/>
  <c r="O77" i="1"/>
  <c r="N77" i="1"/>
  <c r="M77" i="1"/>
  <c r="L77" i="1"/>
  <c r="K77" i="1"/>
  <c r="I77" i="1"/>
  <c r="I78" i="1" s="1"/>
  <c r="H77" i="1"/>
  <c r="H78" i="1" s="1"/>
  <c r="G77" i="1"/>
  <c r="G78" i="1" s="1"/>
  <c r="F77" i="1"/>
  <c r="E77" i="1"/>
  <c r="D77" i="1"/>
  <c r="P74" i="1"/>
  <c r="O74" i="1"/>
  <c r="N74" i="1"/>
  <c r="M74" i="1"/>
  <c r="L74" i="1"/>
  <c r="K74" i="1"/>
  <c r="I74" i="1"/>
  <c r="I75" i="1" s="1"/>
  <c r="H74" i="1"/>
  <c r="H75" i="1" s="1"/>
  <c r="G74" i="1"/>
  <c r="G75" i="1" s="1"/>
  <c r="F74" i="1"/>
  <c r="E74" i="1"/>
  <c r="D74" i="1"/>
  <c r="P71" i="1"/>
  <c r="O71" i="1"/>
  <c r="N71" i="1"/>
  <c r="M71" i="1"/>
  <c r="L71" i="1"/>
  <c r="K71" i="1"/>
  <c r="I71" i="1"/>
  <c r="I72" i="1" s="1"/>
  <c r="H71" i="1"/>
  <c r="H72" i="1" s="1"/>
  <c r="G71" i="1"/>
  <c r="G72" i="1" s="1"/>
  <c r="F71" i="1"/>
  <c r="E71" i="1"/>
  <c r="D71" i="1"/>
  <c r="P68" i="1"/>
  <c r="O68" i="1"/>
  <c r="N68" i="1"/>
  <c r="M68" i="1"/>
  <c r="L68" i="1"/>
  <c r="K68" i="1"/>
  <c r="I68" i="1"/>
  <c r="I69" i="1" s="1"/>
  <c r="H68" i="1"/>
  <c r="H69" i="1" s="1"/>
  <c r="G68" i="1"/>
  <c r="G69" i="1" s="1"/>
  <c r="F68" i="1"/>
  <c r="E68" i="1"/>
  <c r="D68" i="1"/>
  <c r="P65" i="1"/>
  <c r="O65" i="1"/>
  <c r="N65" i="1"/>
  <c r="M65" i="1"/>
  <c r="L65" i="1"/>
  <c r="K65" i="1"/>
  <c r="I65" i="1"/>
  <c r="I66" i="1" s="1"/>
  <c r="H65" i="1"/>
  <c r="H66" i="1" s="1"/>
  <c r="G65" i="1"/>
  <c r="G66" i="1" s="1"/>
  <c r="F65" i="1"/>
  <c r="E65" i="1"/>
  <c r="D65" i="1"/>
  <c r="P62" i="1"/>
  <c r="O62" i="1"/>
  <c r="N62" i="1"/>
  <c r="M62" i="1"/>
  <c r="L62" i="1"/>
  <c r="K62" i="1"/>
  <c r="I62" i="1"/>
  <c r="I63" i="1" s="1"/>
  <c r="H62" i="1"/>
  <c r="H63" i="1" s="1"/>
  <c r="G62" i="1"/>
  <c r="G63" i="1" s="1"/>
  <c r="F62" i="1"/>
  <c r="E62" i="1"/>
  <c r="D62" i="1"/>
  <c r="P59" i="1"/>
  <c r="O59" i="1"/>
  <c r="N59" i="1"/>
  <c r="M59" i="1"/>
  <c r="L59" i="1"/>
  <c r="K59" i="1"/>
  <c r="I59" i="1"/>
  <c r="I60" i="1" s="1"/>
  <c r="H59" i="1"/>
  <c r="H60" i="1" s="1"/>
  <c r="G59" i="1"/>
  <c r="G60" i="1" s="1"/>
  <c r="F59" i="1"/>
  <c r="E59" i="1"/>
  <c r="D59" i="1"/>
  <c r="P56" i="1"/>
  <c r="O56" i="1"/>
  <c r="N56" i="1"/>
  <c r="M56" i="1"/>
  <c r="L56" i="1"/>
  <c r="K56" i="1"/>
  <c r="I56" i="1"/>
  <c r="I57" i="1" s="1"/>
  <c r="H56" i="1"/>
  <c r="H57" i="1" s="1"/>
  <c r="G56" i="1"/>
  <c r="G57" i="1" s="1"/>
  <c r="F56" i="1"/>
  <c r="E56" i="1"/>
  <c r="D56" i="1"/>
  <c r="P49" i="1"/>
  <c r="O49" i="1"/>
  <c r="N49" i="1"/>
  <c r="M49" i="1"/>
  <c r="L49" i="1"/>
  <c r="K49" i="1"/>
  <c r="I49" i="1"/>
  <c r="I50" i="1" s="1"/>
  <c r="H49" i="1"/>
  <c r="H50" i="1" s="1"/>
  <c r="G49" i="1"/>
  <c r="G50" i="1" s="1"/>
  <c r="F49" i="1"/>
  <c r="E49" i="1"/>
  <c r="D49" i="1"/>
  <c r="P46" i="1"/>
  <c r="O46" i="1"/>
  <c r="N46" i="1"/>
  <c r="M46" i="1"/>
  <c r="L46" i="1"/>
  <c r="K46" i="1"/>
  <c r="I46" i="1"/>
  <c r="I47" i="1" s="1"/>
  <c r="H46" i="1"/>
  <c r="H47" i="1" s="1"/>
  <c r="G46" i="1"/>
  <c r="G47" i="1" s="1"/>
  <c r="F46" i="1"/>
  <c r="E46" i="1"/>
  <c r="D46" i="1"/>
  <c r="P43" i="1"/>
  <c r="O43" i="1"/>
  <c r="N43" i="1"/>
  <c r="M43" i="1"/>
  <c r="L43" i="1"/>
  <c r="K43" i="1"/>
  <c r="I43" i="1"/>
  <c r="I44" i="1" s="1"/>
  <c r="H43" i="1"/>
  <c r="H44" i="1" s="1"/>
  <c r="G43" i="1"/>
  <c r="G44" i="1" s="1"/>
  <c r="F43" i="1"/>
  <c r="E43" i="1"/>
  <c r="D43" i="1"/>
  <c r="P40" i="1"/>
  <c r="O40" i="1"/>
  <c r="N40" i="1"/>
  <c r="M40" i="1"/>
  <c r="L40" i="1"/>
  <c r="K40" i="1"/>
  <c r="I40" i="1"/>
  <c r="I41" i="1" s="1"/>
  <c r="H40" i="1"/>
  <c r="H41" i="1" s="1"/>
  <c r="G40" i="1"/>
  <c r="G41" i="1" s="1"/>
  <c r="F40" i="1"/>
  <c r="E40" i="1"/>
  <c r="D40" i="1"/>
  <c r="P37" i="1"/>
  <c r="O37" i="1"/>
  <c r="N37" i="1"/>
  <c r="M37" i="1"/>
  <c r="L37" i="1"/>
  <c r="K37" i="1"/>
  <c r="I37" i="1"/>
  <c r="I38" i="1" s="1"/>
  <c r="H37" i="1"/>
  <c r="H38" i="1" s="1"/>
  <c r="G37" i="1"/>
  <c r="G38" i="1" s="1"/>
  <c r="F37" i="1"/>
  <c r="E37" i="1"/>
  <c r="D37" i="1"/>
  <c r="P34" i="1"/>
  <c r="O34" i="1"/>
  <c r="N34" i="1"/>
  <c r="M34" i="1"/>
  <c r="L34" i="1"/>
  <c r="K34" i="1"/>
  <c r="I34" i="1"/>
  <c r="I35" i="1" s="1"/>
  <c r="H34" i="1"/>
  <c r="H35" i="1" s="1"/>
  <c r="G34" i="1"/>
  <c r="G35" i="1" s="1"/>
  <c r="F34" i="1"/>
  <c r="E34" i="1"/>
  <c r="D34" i="1"/>
  <c r="P31" i="1"/>
  <c r="O31" i="1"/>
  <c r="N31" i="1"/>
  <c r="M31" i="1"/>
  <c r="L31" i="1"/>
  <c r="K31" i="1"/>
  <c r="I31" i="1"/>
  <c r="I32" i="1" s="1"/>
  <c r="H31" i="1"/>
  <c r="H32" i="1" s="1"/>
  <c r="G31" i="1"/>
  <c r="G32" i="1" s="1"/>
  <c r="F31" i="1"/>
  <c r="E31" i="1"/>
  <c r="D31" i="1"/>
  <c r="P28" i="1"/>
  <c r="O28" i="1"/>
  <c r="N28" i="1"/>
  <c r="M28" i="1"/>
  <c r="L28" i="1"/>
  <c r="K28" i="1"/>
  <c r="I28" i="1"/>
  <c r="I29" i="1" s="1"/>
  <c r="H28" i="1"/>
  <c r="H29" i="1" s="1"/>
  <c r="G28" i="1"/>
  <c r="G29" i="1" s="1"/>
  <c r="F28" i="1"/>
  <c r="E28" i="1"/>
  <c r="D28" i="1"/>
  <c r="P25" i="1"/>
  <c r="O25" i="1"/>
  <c r="N25" i="1"/>
  <c r="M25" i="1"/>
  <c r="L25" i="1"/>
  <c r="K25" i="1"/>
  <c r="I25" i="1"/>
  <c r="I26" i="1" s="1"/>
  <c r="H25" i="1"/>
  <c r="H26" i="1" s="1"/>
  <c r="G25" i="1"/>
  <c r="G26" i="1" s="1"/>
  <c r="F25" i="1"/>
  <c r="E25" i="1"/>
  <c r="D25" i="1"/>
  <c r="P22" i="1"/>
  <c r="O22" i="1"/>
  <c r="N22" i="1"/>
  <c r="M22" i="1"/>
  <c r="L22" i="1"/>
  <c r="K22" i="1"/>
  <c r="I22" i="1"/>
  <c r="I23" i="1" s="1"/>
  <c r="H22" i="1"/>
  <c r="H23" i="1" s="1"/>
  <c r="G22" i="1"/>
  <c r="G23" i="1" s="1"/>
  <c r="F22" i="1"/>
  <c r="E22" i="1"/>
  <c r="D23" i="1" s="1"/>
  <c r="P19" i="1"/>
  <c r="O19" i="1"/>
  <c r="N19" i="1"/>
  <c r="M19" i="1"/>
  <c r="L19" i="1"/>
  <c r="K19" i="1"/>
  <c r="I19" i="1"/>
  <c r="I20" i="1" s="1"/>
  <c r="H19" i="1"/>
  <c r="H20" i="1" s="1"/>
  <c r="G19" i="1"/>
  <c r="G20" i="1" s="1"/>
  <c r="J20" i="1" s="1"/>
  <c r="F19" i="1"/>
  <c r="E19" i="1"/>
  <c r="D19" i="1"/>
  <c r="P16" i="1"/>
  <c r="O16" i="1"/>
  <c r="N16" i="1"/>
  <c r="M16" i="1"/>
  <c r="L16" i="1"/>
  <c r="K16" i="1"/>
  <c r="I16" i="1"/>
  <c r="I17" i="1" s="1"/>
  <c r="H16" i="1"/>
  <c r="H17" i="1" s="1"/>
  <c r="G16" i="1"/>
  <c r="G17" i="1" s="1"/>
  <c r="J17" i="1" s="1"/>
  <c r="F16" i="1"/>
  <c r="E16" i="1"/>
  <c r="D16" i="1"/>
  <c r="P13" i="1"/>
  <c r="O13" i="1"/>
  <c r="N13" i="1"/>
  <c r="M13" i="1"/>
  <c r="L13" i="1"/>
  <c r="K13" i="1"/>
  <c r="I13" i="1"/>
  <c r="I14" i="1" s="1"/>
  <c r="H13" i="1"/>
  <c r="H14" i="1" s="1"/>
  <c r="G13" i="1"/>
  <c r="G14" i="1" s="1"/>
  <c r="J14" i="1" s="1"/>
  <c r="F13" i="1"/>
  <c r="E13" i="1"/>
  <c r="D13" i="1"/>
  <c r="P10" i="1"/>
  <c r="O10" i="1"/>
  <c r="N10" i="1"/>
  <c r="M10" i="1"/>
  <c r="L10" i="1"/>
  <c r="K10" i="1"/>
  <c r="I10" i="1"/>
  <c r="I11" i="1" s="1"/>
  <c r="H10" i="1"/>
  <c r="H11" i="1" s="1"/>
  <c r="G10" i="1"/>
  <c r="G11" i="1" s="1"/>
  <c r="J11" i="1" s="1"/>
  <c r="F10" i="1"/>
  <c r="E10" i="1"/>
  <c r="D10" i="1"/>
  <c r="P7" i="1"/>
  <c r="O7" i="1"/>
  <c r="N7" i="1"/>
  <c r="M7" i="1"/>
  <c r="L7" i="1"/>
  <c r="I7" i="1"/>
  <c r="I8" i="1" s="1"/>
  <c r="H7" i="1"/>
  <c r="H8" i="1" s="1"/>
  <c r="G7" i="1"/>
  <c r="G8" i="1" s="1"/>
  <c r="F7" i="1"/>
  <c r="E7" i="1"/>
  <c r="J8" i="1" l="1"/>
  <c r="D17" i="1"/>
  <c r="D11" i="1"/>
  <c r="J23" i="1"/>
  <c r="J26" i="1"/>
  <c r="J29" i="1"/>
  <c r="J32" i="1"/>
  <c r="J35" i="1"/>
  <c r="J38" i="1"/>
  <c r="J41" i="1"/>
  <c r="J44" i="1"/>
  <c r="J47" i="1"/>
  <c r="J50" i="1"/>
  <c r="J57" i="1"/>
  <c r="J60" i="1"/>
  <c r="J63" i="1"/>
  <c r="J66" i="1"/>
  <c r="J69" i="1"/>
  <c r="J72" i="1"/>
  <c r="J75" i="1"/>
  <c r="J78" i="1"/>
  <c r="J81" i="1"/>
  <c r="K23" i="1"/>
  <c r="K29" i="1"/>
  <c r="K35" i="1"/>
  <c r="K41" i="1"/>
  <c r="K47" i="1"/>
  <c r="K57" i="1"/>
  <c r="K63" i="1"/>
  <c r="K69" i="1"/>
  <c r="K75" i="1"/>
  <c r="K81" i="1"/>
  <c r="K11" i="1"/>
  <c r="K17" i="1"/>
  <c r="D32" i="1"/>
  <c r="D29" i="1"/>
  <c r="D35" i="1"/>
  <c r="D41" i="1"/>
  <c r="D47" i="1"/>
  <c r="D57" i="1"/>
  <c r="D63" i="1"/>
  <c r="D26" i="1"/>
  <c r="D38" i="1"/>
  <c r="K26" i="1"/>
  <c r="K32" i="1"/>
  <c r="K38" i="1"/>
  <c r="K44" i="1"/>
  <c r="K66" i="1"/>
  <c r="K78" i="1"/>
  <c r="D50" i="1"/>
  <c r="D66" i="1"/>
  <c r="K50" i="1"/>
  <c r="K60" i="1"/>
  <c r="K72" i="1"/>
  <c r="K8" i="1"/>
  <c r="K14" i="1"/>
  <c r="K20" i="1"/>
  <c r="D69" i="1"/>
  <c r="D75" i="1"/>
  <c r="D81" i="1"/>
  <c r="D44" i="1"/>
  <c r="D14" i="1"/>
  <c r="D20" i="1"/>
  <c r="D8" i="1"/>
  <c r="D78" i="1"/>
  <c r="D60" i="1"/>
  <c r="D72" i="1"/>
</calcChain>
</file>

<file path=xl/sharedStrings.xml><?xml version="1.0" encoding="utf-8"?>
<sst xmlns="http://schemas.openxmlformats.org/spreadsheetml/2006/main" count="954" uniqueCount="447">
  <si>
    <t>Datum</t>
  </si>
  <si>
    <t>base_soll</t>
  </si>
  <si>
    <t>Anmerkung</t>
  </si>
  <si>
    <t>mit 45 punkten</t>
  </si>
  <si>
    <t>alle verdreharten</t>
  </si>
  <si>
    <t>stddev</t>
  </si>
  <si>
    <t>mit 15 punkten</t>
  </si>
  <si>
    <t>stark verdreht</t>
  </si>
  <si>
    <t>mittel verdreht</t>
  </si>
  <si>
    <t>schwach verdreht</t>
  </si>
  <si>
    <t>Messung</t>
  </si>
  <si>
    <t>Base</t>
  </si>
  <si>
    <t>Tool</t>
  </si>
  <si>
    <t>mit 30 punkten</t>
  </si>
  <si>
    <t>mit 20 punkten</t>
  </si>
  <si>
    <t>mit 10 punkten</t>
  </si>
  <si>
    <t>mit 4 punkten</t>
  </si>
  <si>
    <t>=&gt; verdrehung hat geringen einfluss</t>
  </si>
  <si>
    <t>=&gt; tool besser mit steigender punktanzahl</t>
  </si>
  <si>
    <t>=&gt; auf verdrehung kein einfluss</t>
  </si>
  <si>
    <t>=&gt; starke verdrehung führt zu höhrer soll-abweichung</t>
  </si>
  <si>
    <t>mit 7 punkten</t>
  </si>
  <si>
    <t>Base gut</t>
  </si>
  <si>
    <t>Tool gut</t>
  </si>
  <si>
    <t>base</t>
  </si>
  <si>
    <t>tool</t>
  </si>
  <si>
    <t>tisch</t>
  </si>
  <si>
    <t>achse 1-3 bewegt</t>
  </si>
  <si>
    <t>achse 4-6 gar nicht</t>
  </si>
  <si>
    <t>achse 1-3 gar nicht</t>
  </si>
  <si>
    <t>achse 4-6 bewegt</t>
  </si>
  <si>
    <t>aus smartPAD</t>
  </si>
  <si>
    <t>[smartPAD]eigentlich sind es</t>
  </si>
  <si>
    <t>tool_soll aus geom. Best und smartPAD</t>
  </si>
  <si>
    <t>15 Punkte, 7kg ohne Komp</t>
  </si>
  <si>
    <t>d1</t>
  </si>
  <si>
    <t>d2</t>
  </si>
  <si>
    <t>15 Punkte, 12kg ohne Komp</t>
  </si>
  <si>
    <t>15 Punkte, 17kg ohne Komp</t>
  </si>
  <si>
    <t>TCP-Check Rotation um 15° in den Achsen</t>
  </si>
  <si>
    <t>14 Punkte, 22kg ohne Komp</t>
  </si>
  <si>
    <t>Freitag</t>
  </si>
  <si>
    <t>Montag</t>
  </si>
  <si>
    <t>Dienstag</t>
  </si>
  <si>
    <t>Mittwoch</t>
  </si>
  <si>
    <t>TCP-Check verschiedene Verdrehungen</t>
  </si>
  <si>
    <t>15°</t>
  </si>
  <si>
    <t>30°</t>
  </si>
  <si>
    <t>45°</t>
  </si>
  <si>
    <t>60°</t>
  </si>
  <si>
    <t>um A</t>
  </si>
  <si>
    <t>um B</t>
  </si>
  <si>
    <t>um C</t>
  </si>
  <si>
    <t>Donnerstag</t>
  </si>
  <si>
    <t>15 Punkte, tcp-an-stange-unten</t>
  </si>
  <si>
    <t>unnötig weil keine SOLL-Daten vorhanden</t>
  </si>
  <si>
    <t>15 Punkte, tcp seitlich an der Stange</t>
  </si>
  <si>
    <t>10 Punkte, tcp seitlich an der Stange</t>
  </si>
  <si>
    <t xml:space="preserve">14 Punkte nah am Flansch </t>
  </si>
  <si>
    <t>10 P, gute Base, Nest seitlich</t>
  </si>
  <si>
    <t>10 P, gute Base, Nest unten</t>
  </si>
  <si>
    <t>10 P, gutes Tool, Nest seitlich</t>
  </si>
  <si>
    <t>TCP-Check Rotation um 45° in den Achsen</t>
  </si>
  <si>
    <t>mit eingetragener Toollast: 35kg</t>
  </si>
  <si>
    <t>Darstellung der Tischecken</t>
  </si>
  <si>
    <t>kinematische Base</t>
  </si>
  <si>
    <t>kinematische Base mit Z=0</t>
  </si>
  <si>
    <t>kinematische Base mit Z=700</t>
  </si>
  <si>
    <t>mit selbstbestimmten Tool</t>
  </si>
  <si>
    <t>Nest nah am Flansch</t>
  </si>
  <si>
    <t>Tool 11 0/0/0 mit 42kg</t>
  </si>
  <si>
    <t>mit 22 kg zusatz</t>
  </si>
  <si>
    <t>01soll-01</t>
  </si>
  <si>
    <t>01soll-02</t>
  </si>
  <si>
    <t>01soll-03</t>
  </si>
  <si>
    <t>01soll-04</t>
  </si>
  <si>
    <t>01soll-05</t>
  </si>
  <si>
    <t>02gewicht-01</t>
  </si>
  <si>
    <t>02gewicht-02</t>
  </si>
  <si>
    <t>02gewicht-03</t>
  </si>
  <si>
    <t>02gewicht-04</t>
  </si>
  <si>
    <t>02gewicht-05</t>
  </si>
  <si>
    <t>03komp-01</t>
  </si>
  <si>
    <t>03komp-02</t>
  </si>
  <si>
    <t>03komp-03</t>
  </si>
  <si>
    <t>03komp-04</t>
  </si>
  <si>
    <t>03komp-05</t>
  </si>
  <si>
    <t>Punktnummer</t>
  </si>
  <si>
    <t>X</t>
  </si>
  <si>
    <t>Y</t>
  </si>
  <si>
    <t>Z</t>
  </si>
  <si>
    <t>∆x</t>
  </si>
  <si>
    <t>∆y</t>
  </si>
  <si>
    <t>∆z</t>
  </si>
  <si>
    <t>10kg seitlich angebracht</t>
  </si>
  <si>
    <t>trafo_tisch</t>
  </si>
  <si>
    <t>station01-roboter</t>
  </si>
  <si>
    <t>Differenz</t>
  </si>
  <si>
    <t>Rx = C</t>
  </si>
  <si>
    <t>Rz = A</t>
  </si>
  <si>
    <t>Ry = B</t>
  </si>
  <si>
    <t>=&gt;Montag 16.07. base_testen</t>
  </si>
  <si>
    <t>kinematische Base (anderer SP)</t>
  </si>
  <si>
    <t>kleine Verteilung</t>
  </si>
  <si>
    <t>große Verteilung</t>
  </si>
  <si>
    <t>Vergleichskoordinaten Bilder MO 17:22</t>
  </si>
  <si>
    <t>nicht berechnet</t>
  </si>
  <si>
    <t>Vergleichskoordinaten Bilder DI 10:21</t>
  </si>
  <si>
    <t>Base-Test-Ergebniss können durch Tisch_Koordinatensystem beeinflusst sein, Unebenheit, schlechte Kanten</t>
  </si>
  <si>
    <t>Vergleichskoordinaten Bilder DI 11:06</t>
  </si>
  <si>
    <t>letztes Bild 11:32</t>
  </si>
  <si>
    <t xml:space="preserve">mit richtigem Tool </t>
  </si>
  <si>
    <t>GEWICHTE UNTEN</t>
  </si>
  <si>
    <t>10P</t>
  </si>
  <si>
    <t>5kg seitlich unkompensiert</t>
  </si>
  <si>
    <t>10kg seitlich unkompensiert</t>
  </si>
  <si>
    <t>10kg seitlich kompensiert</t>
  </si>
  <si>
    <t>15kg seitlich kompensiert</t>
  </si>
  <si>
    <t>15kg seitlich unkompensiert</t>
  </si>
  <si>
    <t>5kg unten kompensiert</t>
  </si>
  <si>
    <t>10kg unten kompensiert</t>
  </si>
  <si>
    <t>15kg unten kompensiert</t>
  </si>
  <si>
    <t>ohne jegliches Zusatzgewicht</t>
  </si>
  <si>
    <t>kinematische Base (3. SP)</t>
  </si>
  <si>
    <t>=&gt; man muss das richtige Tool eingeben !!!</t>
  </si>
  <si>
    <t>oder im TCP0 messen</t>
  </si>
  <si>
    <t>Vergleichskoordinaten Bilder MI 14:32</t>
  </si>
  <si>
    <t>Vergleichskoordinaten Bilder MI 14:43</t>
  </si>
  <si>
    <t>richtige Kompensation</t>
  </si>
  <si>
    <t>Nest nah am Flansch D1</t>
  </si>
  <si>
    <t>Nest nah am Flansch D2</t>
  </si>
  <si>
    <t>Punkt unten am TCP D1</t>
  </si>
  <si>
    <t>Base Tests</t>
  </si>
  <si>
    <t>gute Base</t>
  </si>
  <si>
    <t>11min Messzeit (10P)</t>
  </si>
  <si>
    <t>Nest klebt oberhalb von Flansch</t>
  </si>
  <si>
    <t>12min Messzeit (10P)</t>
  </si>
  <si>
    <t>außerhalb von Tischbereich hinten2</t>
  </si>
  <si>
    <t>außerhalb von Tischbereich hinten1</t>
  </si>
  <si>
    <t>außerhalb von Tischbereich vor</t>
  </si>
  <si>
    <t>am Ursprung</t>
  </si>
  <si>
    <t>außerhalb von Tischbereich hinterRobi</t>
  </si>
  <si>
    <t>13min Messzeit (10P)</t>
  </si>
  <si>
    <t>welches Tool trage ich ein? Richtiges Soll-Tool damit Base-Test unabhägig von Tool oder das berechnete Tool (wurde bei TCP-Check getestet)</t>
  </si>
  <si>
    <t>10min Messzeit, Bilder 13:39</t>
  </si>
  <si>
    <t>Bilder 13:47</t>
  </si>
  <si>
    <t>Bilder 13:53</t>
  </si>
  <si>
    <t>Bilder 14:01</t>
  </si>
  <si>
    <t>d1 Bilder 14:06</t>
  </si>
  <si>
    <t>d3 Bilder 14:12</t>
  </si>
  <si>
    <t>Bilder 14:38</t>
  </si>
  <si>
    <t>= euklidischer Abstand</t>
  </si>
  <si>
    <t>Uhrzeit</t>
  </si>
  <si>
    <t>Roboteranzeige</t>
  </si>
  <si>
    <t>Laser Tracker Messung</t>
  </si>
  <si>
    <t>Abweichung</t>
  </si>
  <si>
    <t>eingetragen</t>
  </si>
  <si>
    <t>Tag &amp; welche Base</t>
  </si>
  <si>
    <t>∆x, y, z</t>
  </si>
  <si>
    <t>euklid. Abst.</t>
  </si>
  <si>
    <t>MW x, y, z</t>
  </si>
  <si>
    <t>[°] und [mm/m]</t>
  </si>
  <si>
    <t>lll</t>
  </si>
  <si>
    <t>alle mit richtiger Kompensation</t>
  </si>
  <si>
    <t xml:space="preserve">tool_soll </t>
  </si>
  <si>
    <t>Anzahl Passpunkte</t>
  </si>
  <si>
    <t>990,05</t>
  </si>
  <si>
    <t>1698,78</t>
  </si>
  <si>
    <t>40,60</t>
  </si>
  <si>
    <t>0,191</t>
  </si>
  <si>
    <t>0,089</t>
  </si>
  <si>
    <t>246,37</t>
  </si>
  <si>
    <t>0,61</t>
  </si>
  <si>
    <t>92,96</t>
  </si>
  <si>
    <t>990,13</t>
  </si>
  <si>
    <t>1698,63</t>
  </si>
  <si>
    <t>40,77</t>
  </si>
  <si>
    <t>0,187</t>
  </si>
  <si>
    <t>0,076</t>
  </si>
  <si>
    <t>246,07</t>
  </si>
  <si>
    <t>0,40</t>
  </si>
  <si>
    <t>92,86</t>
  </si>
  <si>
    <t>990,09</t>
  </si>
  <si>
    <t>1698,49</t>
  </si>
  <si>
    <t>40,70</t>
  </si>
  <si>
    <t>0,177</t>
  </si>
  <si>
    <t>0,080</t>
  </si>
  <si>
    <t>246,05</t>
  </si>
  <si>
    <t>0,37</t>
  </si>
  <si>
    <t>92,80</t>
  </si>
  <si>
    <t>990,07</t>
  </si>
  <si>
    <t>1698,42</t>
  </si>
  <si>
    <t>40,75</t>
  </si>
  <si>
    <t>0,171</t>
  </si>
  <si>
    <t>245,96</t>
  </si>
  <si>
    <t>0,35</t>
  </si>
  <si>
    <t>92,75</t>
  </si>
  <si>
    <t>1698,35</t>
  </si>
  <si>
    <t>40,78</t>
  </si>
  <si>
    <t>0,172</t>
  </si>
  <si>
    <t>0,082</t>
  </si>
  <si>
    <t>0,32</t>
  </si>
  <si>
    <t>92,69</t>
  </si>
  <si>
    <t>990,08</t>
  </si>
  <si>
    <t>1698,34</t>
  </si>
  <si>
    <t>40,80</t>
  </si>
  <si>
    <t>0,083</t>
  </si>
  <si>
    <t>92,66</t>
  </si>
  <si>
    <t>990,06</t>
  </si>
  <si>
    <t>40,82</t>
  </si>
  <si>
    <t>0,173</t>
  </si>
  <si>
    <t>245,97</t>
  </si>
  <si>
    <t>0,34</t>
  </si>
  <si>
    <t>92,65</t>
  </si>
  <si>
    <t>1698,36</t>
  </si>
  <si>
    <t>40,83</t>
  </si>
  <si>
    <t>0,081</t>
  </si>
  <si>
    <t>92,67</t>
  </si>
  <si>
    <t>989,98</t>
  </si>
  <si>
    <t>1698,26</t>
  </si>
  <si>
    <t>40,79</t>
  </si>
  <si>
    <t>0,167</t>
  </si>
  <si>
    <t>245,99</t>
  </si>
  <si>
    <t>0,31</t>
  </si>
  <si>
    <t>92,63</t>
  </si>
  <si>
    <t>990,02</t>
  </si>
  <si>
    <t>1698,28</t>
  </si>
  <si>
    <t>0,170</t>
  </si>
  <si>
    <t>246,00</t>
  </si>
  <si>
    <t>0,29</t>
  </si>
  <si>
    <t>92,64</t>
  </si>
  <si>
    <t>990,01</t>
  </si>
  <si>
    <t>1698,30</t>
  </si>
  <si>
    <t>246,02</t>
  </si>
  <si>
    <t>989,99</t>
  </si>
  <si>
    <t>1698,32</t>
  </si>
  <si>
    <t>0,30</t>
  </si>
  <si>
    <t>990,00</t>
  </si>
  <si>
    <t>246,04</t>
  </si>
  <si>
    <t>1698,31</t>
  </si>
  <si>
    <t>0,28</t>
  </si>
  <si>
    <t>40,81</t>
  </si>
  <si>
    <t>246,06</t>
  </si>
  <si>
    <t>989,96</t>
  </si>
  <si>
    <t>246,08</t>
  </si>
  <si>
    <t>989,97</t>
  </si>
  <si>
    <t>246,09</t>
  </si>
  <si>
    <t>92,62</t>
  </si>
  <si>
    <t>92,61</t>
  </si>
  <si>
    <t>nur Achse 1-3</t>
  </si>
  <si>
    <t>nur Achse 4-6</t>
  </si>
  <si>
    <t>keine SOLL-Daten</t>
  </si>
  <si>
    <t>hinter_rob_01</t>
  </si>
  <si>
    <t>hinter_rob_02</t>
  </si>
  <si>
    <t>hinter_rob_03</t>
  </si>
  <si>
    <t>hinter_rob_04</t>
  </si>
  <si>
    <t>hinter_rob_05</t>
  </si>
  <si>
    <t>hinter_rob_06</t>
  </si>
  <si>
    <t>hinter_rob_07</t>
  </si>
  <si>
    <t>hinter_rob_08</t>
  </si>
  <si>
    <t>hinter_rob_09</t>
  </si>
  <si>
    <t>hinter_rob_10</t>
  </si>
  <si>
    <t>vor_rob_01</t>
  </si>
  <si>
    <t>vor_rob_02</t>
  </si>
  <si>
    <t>vor_rob_03</t>
  </si>
  <si>
    <t>vor_rob_04</t>
  </si>
  <si>
    <t>vor_rob_05</t>
  </si>
  <si>
    <t>vor_rob_06</t>
  </si>
  <si>
    <t>vor_rob_07</t>
  </si>
  <si>
    <t>vor_rob_08</t>
  </si>
  <si>
    <t>vor_rob_09</t>
  </si>
  <si>
    <t>vor_rob_10</t>
  </si>
  <si>
    <t>hinter_rob_1001</t>
  </si>
  <si>
    <t>hinter_rob_1002</t>
  </si>
  <si>
    <t>hinter_rob_1003</t>
  </si>
  <si>
    <t>hinter_rob_1004</t>
  </si>
  <si>
    <t>hinter_rob_1005</t>
  </si>
  <si>
    <t>hinter_rob_1006</t>
  </si>
  <si>
    <t>hinter_rob_1007</t>
  </si>
  <si>
    <t>hinter_rob_1008</t>
  </si>
  <si>
    <t>hinter_rob_1009</t>
  </si>
  <si>
    <t>hinter_rob_1010</t>
  </si>
  <si>
    <t>base_amUrsprung01</t>
  </si>
  <si>
    <t>base_amUrsprung02</t>
  </si>
  <si>
    <t>base_amUrsprung03</t>
  </si>
  <si>
    <t>base_amUrsprung04</t>
  </si>
  <si>
    <t>base_amUrsprung05</t>
  </si>
  <si>
    <t>base_amUrsprung06</t>
  </si>
  <si>
    <t>base_amUrsprung07</t>
  </si>
  <si>
    <t>base_amUrsprung08</t>
  </si>
  <si>
    <t>base_amUrsprung09</t>
  </si>
  <si>
    <t>base_amUrsprung10</t>
  </si>
  <si>
    <t>Roboterstandpunkt</t>
  </si>
  <si>
    <t>point</t>
  </si>
  <si>
    <t>ref</t>
  </si>
  <si>
    <t>8 stark verdreht</t>
  </si>
  <si>
    <t>8 mittel verdreht</t>
  </si>
  <si>
    <t>8 schwach verdreht</t>
  </si>
  <si>
    <t>mit CAD Kompensation</t>
  </si>
  <si>
    <t>optimale_Verteilung01</t>
  </si>
  <si>
    <t>optimale_Verteilung02</t>
  </si>
  <si>
    <t>optimale_Verteilung03</t>
  </si>
  <si>
    <t>optimale_Verteilung04</t>
  </si>
  <si>
    <t>optimale_Verteilung05</t>
  </si>
  <si>
    <t>optimale_Verteilung06</t>
  </si>
  <si>
    <t>optimale_Verteilung07</t>
  </si>
  <si>
    <t>optimale_Verteilung08</t>
  </si>
  <si>
    <t>optimale_Verteilung09</t>
  </si>
  <si>
    <t>optimale_Verteilung10</t>
  </si>
  <si>
    <t>außerhalb von Tischbereich vorne</t>
  </si>
  <si>
    <t>Gute Verteilung</t>
  </si>
  <si>
    <t>COM-Punkte</t>
  </si>
  <si>
    <t xml:space="preserve">15 Punkte, 17kg </t>
  </si>
  <si>
    <t xml:space="preserve">15 Punkte, 12kg </t>
  </si>
  <si>
    <t xml:space="preserve">15 Punkte, 7kg </t>
  </si>
  <si>
    <t>14 Punkte, 22kg</t>
  </si>
  <si>
    <t>5kg seitlich kompensiert</t>
  </si>
  <si>
    <t>12kg unten kompensiert</t>
  </si>
  <si>
    <t>17kg unten kompensiert</t>
  </si>
  <si>
    <t>22kg unten kompensiert</t>
  </si>
  <si>
    <t>12kg seitlich kompensiert</t>
  </si>
  <si>
    <t>12kg seitlich unkompensiert</t>
  </si>
  <si>
    <t>17kg seitlich kompensiert</t>
  </si>
  <si>
    <t>17kg seitlich unkompensiert</t>
  </si>
  <si>
    <t>22kg seitlich kompensiert</t>
  </si>
  <si>
    <t>22kg seitlich unkompensiert</t>
  </si>
  <si>
    <t>12kg unten unkompensiert</t>
  </si>
  <si>
    <t>17kg unten unkompensiert</t>
  </si>
  <si>
    <t>22kg unten unkompensiert</t>
  </si>
  <si>
    <t>15P</t>
  </si>
  <si>
    <t>unkompensiert</t>
  </si>
  <si>
    <t>kompensiert</t>
  </si>
  <si>
    <t>UNTEN</t>
  </si>
  <si>
    <t>SEITLICH</t>
  </si>
  <si>
    <t>xxx</t>
  </si>
  <si>
    <t>y=mx+b</t>
  </si>
  <si>
    <t>m=</t>
  </si>
  <si>
    <t>x</t>
  </si>
  <si>
    <t>b=</t>
  </si>
  <si>
    <t>3D-Dist.</t>
  </si>
  <si>
    <t>Regressionsgerade für TCP-Check</t>
  </si>
  <si>
    <t>ca 62 Bases</t>
  </si>
  <si>
    <t>abweichungen vor allem in der lage (x,y)</t>
  </si>
  <si>
    <t>niedrigsten abweichungen von allen</t>
  </si>
  <si>
    <t>bisher ohne den letzten Punkt berechnet</t>
  </si>
  <si>
    <t>kinematische Bases haben Verbesserungspotential in Z</t>
  </si>
  <si>
    <t>Z-Wert bei hohen Y-Wert schlechter als sonst</t>
  </si>
  <si>
    <t>gute (optimale) Verteilung</t>
  </si>
  <si>
    <t>ALLE</t>
  </si>
  <si>
    <t>nur KINEMATISCH</t>
  </si>
  <si>
    <t>nur DIE ANDEREN</t>
  </si>
  <si>
    <t>Referenz-Base</t>
  </si>
  <si>
    <t>Rangliste:</t>
  </si>
  <si>
    <t>Base-Test</t>
  </si>
  <si>
    <t>Kinematische Base groß</t>
  </si>
  <si>
    <t>Kinematische Base klein</t>
  </si>
  <si>
    <t>1. Kinematische Base</t>
  </si>
  <si>
    <t>Gute Base</t>
  </si>
  <si>
    <t>Am Ursprung</t>
  </si>
  <si>
    <t>Hinter Roboter</t>
  </si>
  <si>
    <t>Vor Roboter</t>
  </si>
  <si>
    <t>Kinematische Base hinter Roboter</t>
  </si>
  <si>
    <t>X [mm]</t>
  </si>
  <si>
    <t>Y [mm]</t>
  </si>
  <si>
    <t>Z [mm]</t>
  </si>
  <si>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>X [mm]</t>
    </r>
  </si>
  <si>
    <t>∆Y [mm]</t>
  </si>
  <si>
    <t>∆Z [mm]</t>
  </si>
  <si>
    <t>3D-Abstand zu Roboter-SP</t>
  </si>
  <si>
    <t>Rot hervorgehoben Distanzen, die größer 1700 sind</t>
  </si>
  <si>
    <t>Rot hervorgehoben Abweichungen, deren Betrag größer 1 ist</t>
  </si>
  <si>
    <t>Summe |Z|&gt;1:</t>
  </si>
  <si>
    <t>Summe s&gt;1700:</t>
  </si>
  <si>
    <t>Quotient=</t>
  </si>
  <si>
    <t>%</t>
  </si>
  <si>
    <t>Radius des Kreises</t>
  </si>
  <si>
    <t>Tag</t>
  </si>
  <si>
    <t>Anzahl Punkte für Ebene</t>
  </si>
  <si>
    <t>Anzahl Punkte für Kreis</t>
  </si>
  <si>
    <t>kinBase_falscherOrt</t>
  </si>
  <si>
    <t>Name der Base</t>
  </si>
  <si>
    <t>DO 19.07.</t>
  </si>
  <si>
    <t>MI 18.07.</t>
  </si>
  <si>
    <t>kinemat. Base_klein</t>
  </si>
  <si>
    <t>kinemat. Base_groß</t>
  </si>
  <si>
    <t>kinemat. Base_großflächig</t>
  </si>
  <si>
    <t>kinematische Base klein</t>
  </si>
  <si>
    <t>DI 17.07.</t>
  </si>
  <si>
    <t>kinematische Base groß</t>
  </si>
  <si>
    <t>Radius=</t>
  </si>
  <si>
    <t>Abweichungen bei BaseTest</t>
  </si>
  <si>
    <t>große Verteilung (=_großflächig)</t>
  </si>
  <si>
    <t>große Verteilung (=_groß)</t>
  </si>
  <si>
    <t>kleine Verteilung (=_klein)</t>
  </si>
  <si>
    <t>Höhe</t>
  </si>
  <si>
    <t>mit Angabe des Gewichts = 0 kg</t>
  </si>
  <si>
    <t>ohne Zusatzgewicht, kompensiert</t>
  </si>
  <si>
    <t>gutes Tool</t>
  </si>
  <si>
    <t>Passpunkte normal</t>
  </si>
  <si>
    <t>Regressionsgerade kompensierter Fall</t>
  </si>
  <si>
    <r>
      <t xml:space="preserve">Regressionsgerade </t>
    </r>
    <r>
      <rPr>
        <u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kompensierter Fall</t>
    </r>
  </si>
  <si>
    <t>15 Punkte, 7kg Zusatz =42kg</t>
  </si>
  <si>
    <t>15 Punkte, 12kg Zusatz =47kg</t>
  </si>
  <si>
    <t>15 Punkte, 17kg Zusatz =52kg</t>
  </si>
  <si>
    <t>15 Punkte, 22kg Zusatz =57kg</t>
  </si>
  <si>
    <t>7 kg Zusatz kompensiert</t>
  </si>
  <si>
    <t>15 Punkte, 42kg (=mit Vorrichtung)</t>
  </si>
  <si>
    <t>15 Punkte, 35kg (=ohne Vorrichtung)</t>
  </si>
  <si>
    <r>
      <t xml:space="preserve">0 kg Zusatz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kompensiert</t>
    </r>
  </si>
  <si>
    <r>
      <t>7 kg Zusatz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kompensiert</t>
    </r>
  </si>
  <si>
    <t>0 kg Zusatz unkompensiert</t>
  </si>
  <si>
    <t>Anteil der Z-Abw. an der gesamten Abweichung (in%)</t>
  </si>
  <si>
    <t>abw. Vom MW</t>
  </si>
  <si>
    <t>MW</t>
  </si>
  <si>
    <t>Abweichung zur Referenz-Base</t>
  </si>
  <si>
    <t>Abweichung zwischen Laser Tracker- und Roboter-Koordinate</t>
  </si>
  <si>
    <t>Gewichte seitlich montiert, Abweichung zur Referenz-Base</t>
  </si>
  <si>
    <t>Gewichte unten montiert, Abweichung zur Referenz-Base</t>
  </si>
  <si>
    <t>unkomp. Base Abweichung Rotation</t>
  </si>
  <si>
    <t>Tool Abweichung Translation</t>
  </si>
  <si>
    <t>komp. Base Abweichung Rotation</t>
  </si>
  <si>
    <t>unkomp. Base Abweichung Translation</t>
  </si>
  <si>
    <t>komp. Base Abweichung Translation</t>
  </si>
  <si>
    <t>Base; Abweichung Translation</t>
  </si>
  <si>
    <t>Tool; Abweichung Translation</t>
  </si>
  <si>
    <t>Base; Abweichung Rotation</t>
  </si>
  <si>
    <t>Vergleich kinematische Base zur 10-Punkte-Methode</t>
  </si>
  <si>
    <t>MW d1 (8-25)</t>
  </si>
  <si>
    <t>MW d2 (8-25)</t>
  </si>
  <si>
    <t>MAX</t>
  </si>
  <si>
    <t>MIN</t>
  </si>
  <si>
    <t>SPANNE</t>
  </si>
  <si>
    <t>3D</t>
  </si>
  <si>
    <t>mm</t>
  </si>
  <si>
    <t>10-Punkte-Methode</t>
  </si>
  <si>
    <t>Translation</t>
  </si>
  <si>
    <t>Rotation</t>
  </si>
  <si>
    <t>Base-TP</t>
  </si>
  <si>
    <t>Kinematische Base-Bestimmung</t>
  </si>
  <si>
    <t>Kinematische Base: Abweichungen vom Mittelwert jeweils in mm</t>
  </si>
  <si>
    <t>10-Puntke-Methode: Abweichungen vom Mittelwert jeweils in mm</t>
  </si>
  <si>
    <t>Abweichung der Mittelwerte zwischen 10-Punkte-Methode und Kinematischen Bases</t>
  </si>
  <si>
    <t>10-Punkte-Methode: Abweichungen vom Mittelwert jeweils in mm</t>
  </si>
  <si>
    <t>Translation [mm]</t>
  </si>
  <si>
    <t>Rotation [°]</t>
  </si>
  <si>
    <t>Mittelwert</t>
  </si>
  <si>
    <t>zufall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</si>
</sst>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000"/>
    <numFmt numFmtId="167" formatCode="#,##0.00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2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4" xfId="0" applyNumberFormat="1" applyFont="1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164" fontId="1" fillId="0" borderId="13" xfId="0" applyNumberFormat="1" applyFont="1" applyBorder="1"/>
    <xf numFmtId="164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 applyBorder="1"/>
    <xf numFmtId="0" fontId="1" fillId="0" borderId="0" xfId="0" applyFont="1"/>
    <xf numFmtId="0" fontId="3" fillId="0" borderId="0" xfId="0" applyFont="1"/>
    <xf numFmtId="0" fontId="3" fillId="0" borderId="4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5" fillId="0" borderId="9" xfId="0" applyFont="1" applyBorder="1"/>
    <xf numFmtId="0" fontId="5" fillId="0" borderId="10" xfId="0" applyFont="1" applyBorder="1"/>
    <xf numFmtId="0" fontId="0" fillId="0" borderId="13" xfId="0" applyBorder="1" applyAlignment="1">
      <alignment horizontal="right"/>
    </xf>
    <xf numFmtId="2" fontId="0" fillId="0" borderId="14" xfId="0" applyNumberFormat="1" applyBorder="1"/>
    <xf numFmtId="0" fontId="5" fillId="0" borderId="13" xfId="0" applyFont="1" applyBorder="1"/>
    <xf numFmtId="0" fontId="5" fillId="0" borderId="0" xfId="0" applyFont="1" applyBorder="1"/>
    <xf numFmtId="0" fontId="0" fillId="0" borderId="15" xfId="0" applyBorder="1" applyAlignment="1">
      <alignment horizontal="right"/>
    </xf>
    <xf numFmtId="2" fontId="0" fillId="0" borderId="18" xfId="0" applyNumberFormat="1" applyBorder="1"/>
    <xf numFmtId="0" fontId="0" fillId="0" borderId="0" xfId="0" applyFont="1" applyAlignment="1">
      <alignment horizontal="right"/>
    </xf>
    <xf numFmtId="164" fontId="0" fillId="0" borderId="0" xfId="0" applyNumberFormat="1"/>
    <xf numFmtId="0" fontId="0" fillId="0" borderId="0" xfId="0" applyFill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10" xfId="0" applyNumberFormat="1" applyBorder="1"/>
    <xf numFmtId="164" fontId="0" fillId="0" borderId="9" xfId="0" applyNumberFormat="1" applyBorder="1"/>
    <xf numFmtId="164" fontId="0" fillId="0" borderId="13" xfId="0" applyNumberFormat="1" applyBorder="1"/>
    <xf numFmtId="0" fontId="0" fillId="0" borderId="0" xfId="0" quotePrefix="1" applyFill="1" applyBorder="1"/>
    <xf numFmtId="0" fontId="7" fillId="0" borderId="0" xfId="0" applyFont="1" applyAlignment="1">
      <alignment horizontal="right"/>
    </xf>
    <xf numFmtId="164" fontId="7" fillId="0" borderId="0" xfId="0" applyNumberFormat="1" applyFont="1"/>
    <xf numFmtId="0" fontId="8" fillId="0" borderId="0" xfId="0" applyFont="1" applyAlignment="1">
      <alignment horizontal="right"/>
    </xf>
    <xf numFmtId="164" fontId="8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164" fontId="9" fillId="0" borderId="0" xfId="0" applyNumberFormat="1" applyFont="1"/>
    <xf numFmtId="0" fontId="10" fillId="0" borderId="0" xfId="0" applyFont="1" applyAlignment="1">
      <alignment horizontal="right"/>
    </xf>
    <xf numFmtId="164" fontId="10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center"/>
    </xf>
    <xf numFmtId="164" fontId="7" fillId="0" borderId="11" xfId="0" applyNumberFormat="1" applyFont="1" applyBorder="1"/>
    <xf numFmtId="164" fontId="7" fillId="0" borderId="10" xfId="0" applyNumberFormat="1" applyFont="1" applyBorder="1"/>
    <xf numFmtId="0" fontId="11" fillId="0" borderId="0" xfId="0" applyFont="1" applyAlignment="1">
      <alignment horizontal="right"/>
    </xf>
    <xf numFmtId="164" fontId="11" fillId="0" borderId="0" xfId="0" applyNumberFormat="1" applyFont="1"/>
    <xf numFmtId="0" fontId="12" fillId="0" borderId="0" xfId="0" applyFont="1" applyAlignment="1">
      <alignment horizontal="right"/>
    </xf>
    <xf numFmtId="164" fontId="12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164" fontId="11" fillId="0" borderId="11" xfId="0" applyNumberFormat="1" applyFont="1" applyBorder="1"/>
    <xf numFmtId="164" fontId="11" fillId="0" borderId="10" xfId="0" applyNumberFormat="1" applyFont="1" applyBorder="1"/>
    <xf numFmtId="164" fontId="9" fillId="0" borderId="11" xfId="0" applyNumberFormat="1" applyFont="1" applyBorder="1"/>
    <xf numFmtId="164" fontId="9" fillId="0" borderId="10" xfId="0" applyNumberFormat="1" applyFont="1" applyBorder="1"/>
    <xf numFmtId="0" fontId="14" fillId="0" borderId="0" xfId="0" applyFont="1" applyAlignment="1">
      <alignment horizontal="center"/>
    </xf>
    <xf numFmtId="0" fontId="6" fillId="0" borderId="14" xfId="0" applyFont="1" applyBorder="1"/>
    <xf numFmtId="1" fontId="11" fillId="0" borderId="0" xfId="0" applyNumberFormat="1" applyFont="1"/>
    <xf numFmtId="0" fontId="0" fillId="0" borderId="0" xfId="0" applyBorder="1" applyAlignment="1">
      <alignment horizontal="right"/>
    </xf>
    <xf numFmtId="0" fontId="15" fillId="0" borderId="0" xfId="0" applyFont="1"/>
    <xf numFmtId="0" fontId="13" fillId="0" borderId="0" xfId="0" applyFont="1" applyAlignment="1">
      <alignment horizontal="center"/>
    </xf>
    <xf numFmtId="164" fontId="4" fillId="0" borderId="11" xfId="0" applyNumberFormat="1" applyFont="1" applyBorder="1"/>
    <xf numFmtId="164" fontId="4" fillId="0" borderId="10" xfId="0" applyNumberFormat="1" applyFont="1" applyBorder="1"/>
    <xf numFmtId="14" fontId="0" fillId="0" borderId="0" xfId="0" applyNumberFormat="1" applyBorder="1"/>
    <xf numFmtId="164" fontId="4" fillId="0" borderId="0" xfId="0" applyNumberFormat="1" applyFont="1" applyBorder="1"/>
    <xf numFmtId="0" fontId="4" fillId="0" borderId="0" xfId="0" applyFont="1" applyBorder="1"/>
    <xf numFmtId="0" fontId="16" fillId="0" borderId="0" xfId="0" applyFont="1"/>
    <xf numFmtId="164" fontId="16" fillId="0" borderId="11" xfId="0" applyNumberFormat="1" applyFont="1" applyBorder="1"/>
    <xf numFmtId="164" fontId="16" fillId="0" borderId="10" xfId="0" applyNumberFormat="1" applyFont="1" applyBorder="1"/>
    <xf numFmtId="164" fontId="1" fillId="0" borderId="0" xfId="0" quotePrefix="1" applyNumberFormat="1" applyFont="1" applyBorder="1"/>
    <xf numFmtId="0" fontId="4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9" xfId="0" applyFont="1" applyBorder="1"/>
    <xf numFmtId="20" fontId="0" fillId="0" borderId="10" xfId="0" applyNumberFormat="1" applyBorder="1"/>
    <xf numFmtId="20" fontId="0" fillId="0" borderId="16" xfId="0" applyNumberFormat="1" applyBorder="1"/>
    <xf numFmtId="20" fontId="0" fillId="0" borderId="0" xfId="0" applyNumberFormat="1" applyBorder="1"/>
    <xf numFmtId="2" fontId="0" fillId="0" borderId="13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4" fillId="0" borderId="15" xfId="0" applyNumberFormat="1" applyFont="1" applyBorder="1"/>
    <xf numFmtId="2" fontId="4" fillId="0" borderId="16" xfId="0" applyNumberFormat="1" applyFont="1" applyBorder="1"/>
    <xf numFmtId="2" fontId="4" fillId="0" borderId="18" xfId="0" applyNumberFormat="1" applyFont="1" applyBorder="1"/>
    <xf numFmtId="2" fontId="4" fillId="0" borderId="9" xfId="0" applyNumberFormat="1" applyFont="1" applyBorder="1"/>
    <xf numFmtId="2" fontId="4" fillId="0" borderId="10" xfId="0" applyNumberFormat="1" applyFont="1" applyBorder="1"/>
    <xf numFmtId="2" fontId="4" fillId="0" borderId="12" xfId="0" applyNumberFormat="1" applyFont="1" applyBorder="1"/>
    <xf numFmtId="2" fontId="4" fillId="0" borderId="13" xfId="0" applyNumberFormat="1" applyFont="1" applyBorder="1"/>
    <xf numFmtId="2" fontId="4" fillId="0" borderId="0" xfId="0" applyNumberFormat="1" applyFont="1" applyBorder="1"/>
    <xf numFmtId="2" fontId="4" fillId="0" borderId="14" xfId="0" applyNumberFormat="1" applyFont="1" applyBorder="1"/>
    <xf numFmtId="0" fontId="17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1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3" fillId="0" borderId="0" xfId="0" quotePrefix="1" applyFont="1" applyBorder="1"/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166" fontId="18" fillId="0" borderId="0" xfId="0" applyNumberFormat="1" applyFont="1" applyBorder="1" applyAlignment="1">
      <alignment horizontal="center" vertical="center" wrapText="1"/>
    </xf>
    <xf numFmtId="164" fontId="18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right"/>
    </xf>
    <xf numFmtId="2" fontId="0" fillId="0" borderId="2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0" xfId="0" applyNumberFormat="1" applyFon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" xfId="0" applyNumberFormat="1" applyBorder="1"/>
    <xf numFmtId="164" fontId="1" fillId="0" borderId="4" xfId="0" applyNumberFormat="1" applyFont="1" applyBorder="1"/>
    <xf numFmtId="164" fontId="1" fillId="0" borderId="6" xfId="0" applyNumberFormat="1" applyFont="1" applyBorder="1"/>
    <xf numFmtId="164" fontId="1" fillId="0" borderId="8" xfId="0" applyNumberFormat="1" applyFont="1" applyBorder="1"/>
    <xf numFmtId="164" fontId="1" fillId="0" borderId="7" xfId="0" applyNumberFormat="1" applyFont="1" applyBorder="1"/>
    <xf numFmtId="164" fontId="1" fillId="0" borderId="5" xfId="0" applyNumberFormat="1" applyFont="1" applyBorder="1"/>
    <xf numFmtId="14" fontId="0" fillId="0" borderId="9" xfId="0" applyNumberFormat="1" applyBorder="1"/>
    <xf numFmtId="164" fontId="0" fillId="0" borderId="11" xfId="0" applyNumberFormat="1" applyBorder="1"/>
    <xf numFmtId="164" fontId="0" fillId="0" borderId="19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0" fontId="0" fillId="0" borderId="20" xfId="0" applyBorder="1"/>
    <xf numFmtId="164" fontId="0" fillId="0" borderId="21" xfId="0" applyNumberFormat="1" applyBorder="1"/>
    <xf numFmtId="14" fontId="0" fillId="0" borderId="22" xfId="0" applyNumberFormat="1" applyBorder="1"/>
    <xf numFmtId="164" fontId="0" fillId="0" borderId="23" xfId="0" applyNumberFormat="1" applyBorder="1"/>
    <xf numFmtId="164" fontId="1" fillId="0" borderId="17" xfId="0" applyNumberFormat="1" applyFont="1" applyBorder="1"/>
    <xf numFmtId="164" fontId="0" fillId="0" borderId="16" xfId="0" applyNumberFormat="1" applyBorder="1"/>
    <xf numFmtId="164" fontId="1" fillId="0" borderId="24" xfId="0" applyNumberFormat="1" applyFont="1" applyBorder="1"/>
    <xf numFmtId="164" fontId="1" fillId="0" borderId="16" xfId="0" applyNumberFormat="1" applyFont="1" applyBorder="1"/>
    <xf numFmtId="164" fontId="0" fillId="0" borderId="18" xfId="0" applyNumberFormat="1" applyBorder="1"/>
    <xf numFmtId="0" fontId="0" fillId="0" borderId="0" xfId="0" applyNumberFormat="1" applyFill="1" applyBorder="1"/>
    <xf numFmtId="1" fontId="20" fillId="0" borderId="7" xfId="0" applyNumberFormat="1" applyFont="1" applyBorder="1"/>
    <xf numFmtId="0" fontId="0" fillId="0" borderId="12" xfId="0" applyBorder="1" applyAlignment="1">
      <alignment horizontal="right"/>
    </xf>
    <xf numFmtId="0" fontId="0" fillId="0" borderId="25" xfId="0" applyBorder="1"/>
    <xf numFmtId="18" fontId="0" fillId="0" borderId="0" xfId="0" applyNumberFormat="1" applyFill="1" applyBorder="1"/>
    <xf numFmtId="0" fontId="18" fillId="0" borderId="0" xfId="0" applyFont="1"/>
    <xf numFmtId="164" fontId="13" fillId="0" borderId="0" xfId="0" applyNumberFormat="1" applyFont="1"/>
    <xf numFmtId="0" fontId="13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164" fontId="21" fillId="0" borderId="11" xfId="0" applyNumberFormat="1" applyFont="1" applyBorder="1"/>
    <xf numFmtId="164" fontId="21" fillId="0" borderId="10" xfId="0" applyNumberFormat="1" applyFont="1" applyBorder="1"/>
    <xf numFmtId="0" fontId="21" fillId="0" borderId="0" xfId="0" applyFont="1"/>
    <xf numFmtId="167" fontId="21" fillId="0" borderId="0" xfId="0" applyNumberFormat="1" applyFont="1"/>
    <xf numFmtId="0" fontId="0" fillId="0" borderId="0" xfId="0" applyAlignment="1">
      <alignment horizontal="center"/>
    </xf>
    <xf numFmtId="0" fontId="22" fillId="0" borderId="4" xfId="0" applyFont="1" applyBorder="1" applyAlignment="1">
      <alignment horizontal="center"/>
    </xf>
    <xf numFmtId="0" fontId="23" fillId="0" borderId="0" xfId="0" applyFont="1"/>
    <xf numFmtId="0" fontId="24" fillId="0" borderId="0" xfId="0" applyFont="1"/>
    <xf numFmtId="164" fontId="0" fillId="0" borderId="0" xfId="0" applyNumberFormat="1" applyFill="1" applyBorder="1"/>
    <xf numFmtId="1" fontId="20" fillId="0" borderId="16" xfId="0" applyNumberFormat="1" applyFont="1" applyBorder="1"/>
    <xf numFmtId="0" fontId="20" fillId="0" borderId="0" xfId="0" applyFont="1"/>
    <xf numFmtId="166" fontId="0" fillId="0" borderId="0" xfId="0" applyNumberFormat="1"/>
    <xf numFmtId="0" fontId="25" fillId="0" borderId="0" xfId="0" applyFont="1"/>
    <xf numFmtId="0" fontId="0" fillId="0" borderId="0" xfId="0" applyFont="1"/>
    <xf numFmtId="0" fontId="27" fillId="0" borderId="26" xfId="0" applyFont="1" applyBorder="1" applyAlignment="1">
      <alignment vertical="center"/>
    </xf>
    <xf numFmtId="0" fontId="27" fillId="0" borderId="26" xfId="0" applyFont="1" applyBorder="1" applyAlignment="1">
      <alignment horizontal="right" vertical="center"/>
    </xf>
    <xf numFmtId="0" fontId="27" fillId="0" borderId="26" xfId="0" applyFont="1" applyBorder="1" applyAlignment="1">
      <alignment horizontal="right" vertical="center" wrapText="1"/>
    </xf>
    <xf numFmtId="0" fontId="27" fillId="0" borderId="30" xfId="0" applyFont="1" applyBorder="1" applyAlignment="1">
      <alignment vertical="center"/>
    </xf>
    <xf numFmtId="0" fontId="27" fillId="0" borderId="31" xfId="0" applyFont="1" applyBorder="1" applyAlignment="1">
      <alignment horizontal="right" vertical="center"/>
    </xf>
    <xf numFmtId="0" fontId="27" fillId="0" borderId="32" xfId="0" applyFont="1" applyBorder="1" applyAlignment="1">
      <alignment vertical="center"/>
    </xf>
    <xf numFmtId="0" fontId="27" fillId="0" borderId="33" xfId="0" applyFont="1" applyBorder="1" applyAlignment="1">
      <alignment horizontal="right" vertical="center"/>
    </xf>
    <xf numFmtId="0" fontId="27" fillId="0" borderId="33" xfId="0" applyFont="1" applyBorder="1" applyAlignment="1">
      <alignment vertical="center"/>
    </xf>
    <xf numFmtId="0" fontId="28" fillId="0" borderId="34" xfId="0" applyFont="1" applyBorder="1" applyAlignment="1">
      <alignment vertical="center"/>
    </xf>
    <xf numFmtId="0" fontId="26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right" vertical="center" wrapText="1"/>
    </xf>
    <xf numFmtId="0" fontId="0" fillId="0" borderId="33" xfId="0" applyBorder="1"/>
    <xf numFmtId="0" fontId="26" fillId="0" borderId="30" xfId="0" applyFont="1" applyBorder="1" applyAlignment="1">
      <alignment vertical="center"/>
    </xf>
    <xf numFmtId="0" fontId="3" fillId="0" borderId="0" xfId="0" applyFont="1" applyBorder="1"/>
    <xf numFmtId="164" fontId="4" fillId="0" borderId="0" xfId="0" applyNumberFormat="1" applyFont="1"/>
    <xf numFmtId="166" fontId="27" fillId="0" borderId="26" xfId="0" applyNumberFormat="1" applyFont="1" applyBorder="1" applyAlignment="1">
      <alignment horizontal="right" vertical="center"/>
    </xf>
    <xf numFmtId="166" fontId="27" fillId="0" borderId="31" xfId="0" applyNumberFormat="1" applyFont="1" applyBorder="1" applyAlignment="1">
      <alignment horizontal="right" vertical="center"/>
    </xf>
    <xf numFmtId="166" fontId="27" fillId="0" borderId="33" xfId="0" applyNumberFormat="1" applyFont="1" applyBorder="1" applyAlignment="1">
      <alignment horizontal="right" vertical="center"/>
    </xf>
    <xf numFmtId="166" fontId="0" fillId="0" borderId="33" xfId="0" applyNumberFormat="1" applyBorder="1"/>
    <xf numFmtId="166" fontId="0" fillId="0" borderId="34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6" fillId="0" borderId="27" xfId="0" applyFont="1" applyBorder="1" applyAlignment="1">
      <alignment vertical="center"/>
    </xf>
    <xf numFmtId="0" fontId="26" fillId="0" borderId="28" xfId="0" applyFont="1" applyBorder="1" applyAlignment="1">
      <alignment vertical="center"/>
    </xf>
    <xf numFmtId="0" fontId="26" fillId="0" borderId="29" xfId="0" applyFont="1" applyBorder="1" applyAlignment="1">
      <alignment vertical="center"/>
    </xf>
    <xf numFmtId="0" fontId="26" fillId="0" borderId="26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6" fillId="0" borderId="26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</cellXfs>
  <cellStyles count="1">
    <cellStyle name="Standard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Tischecken</c:v>
          </c:tx>
          <c:spPr>
            <a:ln w="28575">
              <a:noFill/>
            </a:ln>
          </c:spPr>
          <c:xVal>
            <c:numRef>
              <c:f>daten!$H$147:$H$150</c:f>
              <c:numCache>
                <c:formatCode>General</c:formatCode>
                <c:ptCount val="4"/>
                <c:pt idx="0">
                  <c:v>1000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daten!$I$147:$I$150</c:f>
              <c:numCache>
                <c:formatCode>General</c:formatCode>
                <c:ptCount val="4"/>
                <c:pt idx="0">
                  <c:v>0</c:v>
                </c:pt>
                <c:pt idx="1">
                  <c:v>1000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70-4E30-BF92-D9947C4BB2AD}"/>
            </c:ext>
          </c:extLst>
        </c:ser>
        <c:ser>
          <c:idx val="2"/>
          <c:order val="1"/>
          <c:tx>
            <c:v>gutesTool</c:v>
          </c:tx>
          <c:spPr>
            <a:ln w="28575">
              <a:noFill/>
            </a:ln>
          </c:spPr>
          <c:xVal>
            <c:numRef>
              <c:f>daten!$M$147:$M$156</c:f>
              <c:numCache>
                <c:formatCode>General</c:formatCode>
                <c:ptCount val="10"/>
                <c:pt idx="0">
                  <c:v>683.65</c:v>
                </c:pt>
                <c:pt idx="1">
                  <c:v>595.47</c:v>
                </c:pt>
                <c:pt idx="2">
                  <c:v>930.05</c:v>
                </c:pt>
                <c:pt idx="3">
                  <c:v>873.14</c:v>
                </c:pt>
                <c:pt idx="4">
                  <c:v>970.89</c:v>
                </c:pt>
                <c:pt idx="5">
                  <c:v>792.33</c:v>
                </c:pt>
                <c:pt idx="6">
                  <c:v>639.84</c:v>
                </c:pt>
                <c:pt idx="7">
                  <c:v>521.87</c:v>
                </c:pt>
                <c:pt idx="8">
                  <c:v>695.03</c:v>
                </c:pt>
                <c:pt idx="9">
                  <c:v>574.09</c:v>
                </c:pt>
              </c:numCache>
            </c:numRef>
          </c:xVal>
          <c:yVal>
            <c:numRef>
              <c:f>daten!$N$147:$N$156</c:f>
              <c:numCache>
                <c:formatCode>General</c:formatCode>
                <c:ptCount val="10"/>
                <c:pt idx="0">
                  <c:v>-435.21</c:v>
                </c:pt>
                <c:pt idx="1">
                  <c:v>-380.61</c:v>
                </c:pt>
                <c:pt idx="2">
                  <c:v>-326.68</c:v>
                </c:pt>
                <c:pt idx="3">
                  <c:v>-55.11</c:v>
                </c:pt>
                <c:pt idx="4">
                  <c:v>-19.21</c:v>
                </c:pt>
                <c:pt idx="5">
                  <c:v>-24.99</c:v>
                </c:pt>
                <c:pt idx="6">
                  <c:v>-40.82</c:v>
                </c:pt>
                <c:pt idx="7">
                  <c:v>-260.95</c:v>
                </c:pt>
                <c:pt idx="8">
                  <c:v>-147.63</c:v>
                </c:pt>
                <c:pt idx="9">
                  <c:v>23.65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70-4E30-BF92-D9947C4BB2AD}"/>
            </c:ext>
          </c:extLst>
        </c:ser>
        <c:ser>
          <c:idx val="0"/>
          <c:order val="2"/>
          <c:tx>
            <c:v>guteBase</c:v>
          </c:tx>
          <c:spPr>
            <a:ln w="28575">
              <a:noFill/>
            </a:ln>
          </c:spPr>
          <c:xVal>
            <c:numRef>
              <c:f>daten!$M$159:$M$168</c:f>
              <c:numCache>
                <c:formatCode>General</c:formatCode>
                <c:ptCount val="10"/>
                <c:pt idx="0">
                  <c:v>587.79999999999995</c:v>
                </c:pt>
                <c:pt idx="1">
                  <c:v>341.55</c:v>
                </c:pt>
                <c:pt idx="2">
                  <c:v>457.08</c:v>
                </c:pt>
                <c:pt idx="3">
                  <c:v>880.7</c:v>
                </c:pt>
                <c:pt idx="4">
                  <c:v>878</c:v>
                </c:pt>
                <c:pt idx="5">
                  <c:v>364.32</c:v>
                </c:pt>
                <c:pt idx="6">
                  <c:v>37.619999999999997</c:v>
                </c:pt>
                <c:pt idx="7">
                  <c:v>327.07</c:v>
                </c:pt>
                <c:pt idx="8">
                  <c:v>160.91</c:v>
                </c:pt>
                <c:pt idx="9">
                  <c:v>498.41</c:v>
                </c:pt>
              </c:numCache>
            </c:numRef>
          </c:xVal>
          <c:yVal>
            <c:numRef>
              <c:f>daten!$N$159:$N$168</c:f>
              <c:numCache>
                <c:formatCode>General</c:formatCode>
                <c:ptCount val="10"/>
                <c:pt idx="0">
                  <c:v>-150.37</c:v>
                </c:pt>
                <c:pt idx="1">
                  <c:v>-269.61</c:v>
                </c:pt>
                <c:pt idx="2">
                  <c:v>349.37</c:v>
                </c:pt>
                <c:pt idx="3">
                  <c:v>707.05</c:v>
                </c:pt>
                <c:pt idx="4">
                  <c:v>1122.92</c:v>
                </c:pt>
                <c:pt idx="5">
                  <c:v>1155.31</c:v>
                </c:pt>
                <c:pt idx="6">
                  <c:v>784.54</c:v>
                </c:pt>
                <c:pt idx="7">
                  <c:v>258.42</c:v>
                </c:pt>
                <c:pt idx="8">
                  <c:v>-79.41</c:v>
                </c:pt>
                <c:pt idx="9">
                  <c:v>-438.44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70-4E30-BF92-D9947C4BB2AD}"/>
            </c:ext>
          </c:extLst>
        </c:ser>
        <c:ser>
          <c:idx val="3"/>
          <c:order val="3"/>
          <c:tx>
            <c:v>Passpunkte</c:v>
          </c:tx>
          <c:spPr>
            <a:ln w="28575">
              <a:noFill/>
            </a:ln>
          </c:spPr>
          <c:xVal>
            <c:numRef>
              <c:f>daten!$P$147:$P$161</c:f>
              <c:numCache>
                <c:formatCode>General</c:formatCode>
                <c:ptCount val="15"/>
                <c:pt idx="0">
                  <c:v>928.79</c:v>
                </c:pt>
                <c:pt idx="1">
                  <c:v>1185.6199999999999</c:v>
                </c:pt>
                <c:pt idx="2">
                  <c:v>547.85</c:v>
                </c:pt>
                <c:pt idx="3">
                  <c:v>492.6</c:v>
                </c:pt>
                <c:pt idx="4">
                  <c:v>454.25</c:v>
                </c:pt>
                <c:pt idx="5">
                  <c:v>862.54</c:v>
                </c:pt>
                <c:pt idx="6">
                  <c:v>479.57</c:v>
                </c:pt>
                <c:pt idx="7">
                  <c:v>599.41999999999996</c:v>
                </c:pt>
                <c:pt idx="8">
                  <c:v>642.54999999999995</c:v>
                </c:pt>
                <c:pt idx="9">
                  <c:v>1185.42</c:v>
                </c:pt>
                <c:pt idx="10">
                  <c:v>831.01</c:v>
                </c:pt>
                <c:pt idx="11">
                  <c:v>335</c:v>
                </c:pt>
                <c:pt idx="12">
                  <c:v>546.57000000000005</c:v>
                </c:pt>
                <c:pt idx="13">
                  <c:v>752.11</c:v>
                </c:pt>
                <c:pt idx="14">
                  <c:v>892.08</c:v>
                </c:pt>
              </c:numCache>
            </c:numRef>
          </c:xVal>
          <c:yVal>
            <c:numRef>
              <c:f>daten!$Q$147:$Q$161</c:f>
              <c:numCache>
                <c:formatCode>General</c:formatCode>
                <c:ptCount val="15"/>
                <c:pt idx="0">
                  <c:v>-346.05</c:v>
                </c:pt>
                <c:pt idx="1">
                  <c:v>1066.48</c:v>
                </c:pt>
                <c:pt idx="2">
                  <c:v>408.19</c:v>
                </c:pt>
                <c:pt idx="3">
                  <c:v>-592.44000000000005</c:v>
                </c:pt>
                <c:pt idx="4">
                  <c:v>612.12</c:v>
                </c:pt>
                <c:pt idx="5">
                  <c:v>729.61</c:v>
                </c:pt>
                <c:pt idx="6">
                  <c:v>910.6</c:v>
                </c:pt>
                <c:pt idx="7">
                  <c:v>232</c:v>
                </c:pt>
                <c:pt idx="8">
                  <c:v>1101.8</c:v>
                </c:pt>
                <c:pt idx="9">
                  <c:v>-284.39999999999998</c:v>
                </c:pt>
                <c:pt idx="10">
                  <c:v>544.02</c:v>
                </c:pt>
                <c:pt idx="11">
                  <c:v>529.53</c:v>
                </c:pt>
                <c:pt idx="12">
                  <c:v>-634.19000000000005</c:v>
                </c:pt>
                <c:pt idx="13">
                  <c:v>407.7</c:v>
                </c:pt>
                <c:pt idx="14">
                  <c:v>-79.66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70-4E30-BF92-D9947C4BB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99200"/>
        <c:axId val="103700736"/>
      </c:scatterChart>
      <c:valAx>
        <c:axId val="10369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700736"/>
        <c:crosses val="autoZero"/>
        <c:crossBetween val="midCat"/>
      </c:valAx>
      <c:valAx>
        <c:axId val="103700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699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daten!$T$135:$T$179</c:f>
              <c:numCache>
                <c:formatCode>General</c:formatCode>
                <c:ptCount val="45"/>
                <c:pt idx="0">
                  <c:v>497.75</c:v>
                </c:pt>
                <c:pt idx="1">
                  <c:v>465.12</c:v>
                </c:pt>
                <c:pt idx="2">
                  <c:v>103.97</c:v>
                </c:pt>
                <c:pt idx="3">
                  <c:v>622.25</c:v>
                </c:pt>
                <c:pt idx="4">
                  <c:v>276.92</c:v>
                </c:pt>
                <c:pt idx="5">
                  <c:v>614.05999999999995</c:v>
                </c:pt>
                <c:pt idx="6">
                  <c:v>317.89999999999998</c:v>
                </c:pt>
                <c:pt idx="7">
                  <c:v>276.01</c:v>
                </c:pt>
                <c:pt idx="8">
                  <c:v>381.7</c:v>
                </c:pt>
                <c:pt idx="9">
                  <c:v>590.72</c:v>
                </c:pt>
                <c:pt idx="10">
                  <c:v>578.52</c:v>
                </c:pt>
                <c:pt idx="11">
                  <c:v>822.72</c:v>
                </c:pt>
                <c:pt idx="12">
                  <c:v>782.44</c:v>
                </c:pt>
                <c:pt idx="13">
                  <c:v>219.19</c:v>
                </c:pt>
                <c:pt idx="14">
                  <c:v>257.89</c:v>
                </c:pt>
                <c:pt idx="15">
                  <c:v>113.43</c:v>
                </c:pt>
                <c:pt idx="16">
                  <c:v>332.89</c:v>
                </c:pt>
                <c:pt idx="17">
                  <c:v>295.75</c:v>
                </c:pt>
                <c:pt idx="18">
                  <c:v>493.25</c:v>
                </c:pt>
                <c:pt idx="19">
                  <c:v>874.65</c:v>
                </c:pt>
                <c:pt idx="20">
                  <c:v>627.35</c:v>
                </c:pt>
                <c:pt idx="21">
                  <c:v>484.84</c:v>
                </c:pt>
                <c:pt idx="22">
                  <c:v>179.11</c:v>
                </c:pt>
                <c:pt idx="23">
                  <c:v>286.95999999999998</c:v>
                </c:pt>
                <c:pt idx="24">
                  <c:v>445.05</c:v>
                </c:pt>
                <c:pt idx="25">
                  <c:v>684.54</c:v>
                </c:pt>
                <c:pt idx="26">
                  <c:v>406.46</c:v>
                </c:pt>
                <c:pt idx="27">
                  <c:v>395.02</c:v>
                </c:pt>
                <c:pt idx="28">
                  <c:v>1143.58</c:v>
                </c:pt>
                <c:pt idx="29">
                  <c:v>728.01</c:v>
                </c:pt>
                <c:pt idx="30">
                  <c:v>447.71</c:v>
                </c:pt>
                <c:pt idx="31">
                  <c:v>569.79999999999995</c:v>
                </c:pt>
                <c:pt idx="32">
                  <c:v>618.89</c:v>
                </c:pt>
                <c:pt idx="33">
                  <c:v>680.91</c:v>
                </c:pt>
                <c:pt idx="34">
                  <c:v>817.05</c:v>
                </c:pt>
                <c:pt idx="35">
                  <c:v>1035.8</c:v>
                </c:pt>
                <c:pt idx="36">
                  <c:v>742.74</c:v>
                </c:pt>
                <c:pt idx="37">
                  <c:v>372.55</c:v>
                </c:pt>
                <c:pt idx="38">
                  <c:v>109.26</c:v>
                </c:pt>
                <c:pt idx="39">
                  <c:v>192.48</c:v>
                </c:pt>
                <c:pt idx="40">
                  <c:v>519.67999999999995</c:v>
                </c:pt>
                <c:pt idx="41">
                  <c:v>565.80999999999995</c:v>
                </c:pt>
                <c:pt idx="42">
                  <c:v>688.25</c:v>
                </c:pt>
                <c:pt idx="43">
                  <c:v>530.41</c:v>
                </c:pt>
                <c:pt idx="44">
                  <c:v>1052.52</c:v>
                </c:pt>
              </c:numCache>
            </c:numRef>
          </c:xVal>
          <c:yVal>
            <c:numRef>
              <c:f>daten!$U$135:$U$179</c:f>
              <c:numCache>
                <c:formatCode>General</c:formatCode>
                <c:ptCount val="45"/>
                <c:pt idx="0">
                  <c:v>-627.98</c:v>
                </c:pt>
                <c:pt idx="1">
                  <c:v>145.75</c:v>
                </c:pt>
                <c:pt idx="2">
                  <c:v>746.11</c:v>
                </c:pt>
                <c:pt idx="3">
                  <c:v>639.66999999999996</c:v>
                </c:pt>
                <c:pt idx="4">
                  <c:v>-436.67</c:v>
                </c:pt>
                <c:pt idx="5">
                  <c:v>914.16</c:v>
                </c:pt>
                <c:pt idx="6">
                  <c:v>611.94000000000005</c:v>
                </c:pt>
                <c:pt idx="7">
                  <c:v>256.82</c:v>
                </c:pt>
                <c:pt idx="8">
                  <c:v>12.08</c:v>
                </c:pt>
                <c:pt idx="9">
                  <c:v>-961.91</c:v>
                </c:pt>
                <c:pt idx="10">
                  <c:v>-590.49</c:v>
                </c:pt>
                <c:pt idx="11">
                  <c:v>227.58</c:v>
                </c:pt>
                <c:pt idx="12">
                  <c:v>1636.35</c:v>
                </c:pt>
                <c:pt idx="13">
                  <c:v>1660.57</c:v>
                </c:pt>
                <c:pt idx="14">
                  <c:v>474.97</c:v>
                </c:pt>
                <c:pt idx="15">
                  <c:v>359.72</c:v>
                </c:pt>
                <c:pt idx="16">
                  <c:v>-202.18</c:v>
                </c:pt>
                <c:pt idx="17">
                  <c:v>299.06</c:v>
                </c:pt>
                <c:pt idx="18">
                  <c:v>719.45</c:v>
                </c:pt>
                <c:pt idx="19">
                  <c:v>1132.49</c:v>
                </c:pt>
                <c:pt idx="20">
                  <c:v>1251.72</c:v>
                </c:pt>
                <c:pt idx="21">
                  <c:v>691.25</c:v>
                </c:pt>
                <c:pt idx="22">
                  <c:v>594.77</c:v>
                </c:pt>
                <c:pt idx="23">
                  <c:v>289.33999999999997</c:v>
                </c:pt>
                <c:pt idx="24">
                  <c:v>-357.26</c:v>
                </c:pt>
                <c:pt idx="25">
                  <c:v>-909.79</c:v>
                </c:pt>
                <c:pt idx="26">
                  <c:v>543.08000000000004</c:v>
                </c:pt>
                <c:pt idx="27">
                  <c:v>859.57</c:v>
                </c:pt>
                <c:pt idx="28">
                  <c:v>1112.29</c:v>
                </c:pt>
                <c:pt idx="29">
                  <c:v>445.36</c:v>
                </c:pt>
                <c:pt idx="30">
                  <c:v>-2.1</c:v>
                </c:pt>
                <c:pt idx="31">
                  <c:v>274.93</c:v>
                </c:pt>
                <c:pt idx="32">
                  <c:v>552.19000000000005</c:v>
                </c:pt>
                <c:pt idx="33">
                  <c:v>723.48</c:v>
                </c:pt>
                <c:pt idx="34">
                  <c:v>635.24</c:v>
                </c:pt>
                <c:pt idx="35">
                  <c:v>986.07</c:v>
                </c:pt>
                <c:pt idx="36">
                  <c:v>355.47</c:v>
                </c:pt>
                <c:pt idx="37">
                  <c:v>334.39</c:v>
                </c:pt>
                <c:pt idx="38">
                  <c:v>360.29</c:v>
                </c:pt>
                <c:pt idx="39">
                  <c:v>-175.72</c:v>
                </c:pt>
                <c:pt idx="40">
                  <c:v>-314.72000000000003</c:v>
                </c:pt>
                <c:pt idx="41">
                  <c:v>-563.01</c:v>
                </c:pt>
                <c:pt idx="42">
                  <c:v>-621.46</c:v>
                </c:pt>
                <c:pt idx="43">
                  <c:v>26.28</c:v>
                </c:pt>
                <c:pt idx="44">
                  <c:v>-660.81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3-4611-9C83-EE8EC1D5FFDE}"/>
            </c:ext>
          </c:extLst>
        </c:ser>
        <c:ser>
          <c:idx val="1"/>
          <c:order val="1"/>
          <c:tx>
            <c:v>Tischecken</c:v>
          </c:tx>
          <c:spPr>
            <a:ln w="28575">
              <a:noFill/>
            </a:ln>
          </c:spPr>
          <c:xVal>
            <c:numRef>
              <c:f>daten!$H$147:$H$150</c:f>
              <c:numCache>
                <c:formatCode>General</c:formatCode>
                <c:ptCount val="4"/>
                <c:pt idx="0">
                  <c:v>1000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daten!$I$147:$I$150</c:f>
              <c:numCache>
                <c:formatCode>General</c:formatCode>
                <c:ptCount val="4"/>
                <c:pt idx="0">
                  <c:v>0</c:v>
                </c:pt>
                <c:pt idx="1">
                  <c:v>1000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F3-4611-9C83-EE8EC1D5F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34656"/>
        <c:axId val="121582720"/>
      </c:scatterChart>
      <c:valAx>
        <c:axId val="10373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582720"/>
        <c:crosses val="autoZero"/>
        <c:crossBetween val="midCat"/>
      </c:valAx>
      <c:valAx>
        <c:axId val="12158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734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Lage der Com-Punkte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C6F8DB6-D454-48C5-B7BD-B7CC71AF315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2DB-4ADB-8E1D-016FE113878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2FCDC14-1A2E-48B3-B920-625E7DF7DA8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2DB-4ADB-8E1D-016FE113878B}"/>
                </c:ext>
              </c:extLst>
            </c:dLbl>
            <c:dLbl>
              <c:idx val="2"/>
              <c:layout>
                <c:manualLayout>
                  <c:x val="-6.2438544739429691E-3"/>
                  <c:y val="-2.9603729603729603E-2"/>
                </c:manualLayout>
              </c:layout>
              <c:tx>
                <c:rich>
                  <a:bodyPr/>
                  <a:lstStyle/>
                  <a:p>
                    <a:fld id="{1E715318-DD3B-418B-8F7B-222FAF20434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2DB-4ADB-8E1D-016FE113878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9C5F073-CA58-4107-97C4-A51BD17BB44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2DB-4ADB-8E1D-016FE113878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28E9644-22AC-4291-ACAE-B6840748090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2DB-4ADB-8E1D-016FE113878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0EE70A0-F92E-4523-B88A-433061C8BA1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2DB-4ADB-8E1D-016FE113878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204B640-35C8-4BA7-A1F1-0C25444C51E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2DB-4ADB-8E1D-016FE113878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BFD2D3E-B01B-46E5-9B30-8339A011F21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2DB-4ADB-8E1D-016FE11387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daten!$D$349:$D$356</c:f>
              <c:numCache>
                <c:formatCode>General</c:formatCode>
                <c:ptCount val="8"/>
                <c:pt idx="0">
                  <c:v>-571.99</c:v>
                </c:pt>
                <c:pt idx="1">
                  <c:v>-601.4</c:v>
                </c:pt>
                <c:pt idx="2">
                  <c:v>126.61</c:v>
                </c:pt>
                <c:pt idx="3">
                  <c:v>127.91</c:v>
                </c:pt>
                <c:pt idx="4">
                  <c:v>1034.92</c:v>
                </c:pt>
                <c:pt idx="5">
                  <c:v>1550.55</c:v>
                </c:pt>
                <c:pt idx="6">
                  <c:v>1478.8</c:v>
                </c:pt>
                <c:pt idx="7">
                  <c:v>3639.09</c:v>
                </c:pt>
              </c:numCache>
            </c:numRef>
          </c:xVal>
          <c:yVal>
            <c:numRef>
              <c:f>daten!$E$349:$E$356</c:f>
              <c:numCache>
                <c:formatCode>General</c:formatCode>
                <c:ptCount val="8"/>
                <c:pt idx="0">
                  <c:v>-2166.16</c:v>
                </c:pt>
                <c:pt idx="1">
                  <c:v>-1162.52</c:v>
                </c:pt>
                <c:pt idx="2">
                  <c:v>-23.73</c:v>
                </c:pt>
                <c:pt idx="3">
                  <c:v>3327.94</c:v>
                </c:pt>
                <c:pt idx="4">
                  <c:v>950.29</c:v>
                </c:pt>
                <c:pt idx="5">
                  <c:v>844.91</c:v>
                </c:pt>
                <c:pt idx="6">
                  <c:v>194.51</c:v>
                </c:pt>
                <c:pt idx="7">
                  <c:v>-1063.6400000000001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daten!$B$349:$B$356</c15:f>
                <c15:dlblRangeCache>
                  <c:ptCount val="8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2DB-4ADB-8E1D-016FE113878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47022896"/>
        <c:axId val="447026176"/>
      </c:scatterChart>
      <c:valAx>
        <c:axId val="44702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7026176"/>
        <c:crosses val="autoZero"/>
        <c:crossBetween val="midCat"/>
      </c:valAx>
      <c:valAx>
        <c:axId val="4470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702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4</a:t>
            </a:r>
            <a:r>
              <a:rPr lang="de-DE" baseline="0"/>
              <a:t> schwach verdrehte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E74562A-6729-43D0-87E7-38D6D76B1992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C8E-4E7A-8504-DE3F5B1D583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A9B7CD2-E8D0-40AF-932A-37684DF8F27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C8E-4E7A-8504-DE3F5B1D583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F67024A-1935-4248-B4EF-93E830277D8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C8E-4E7A-8504-DE3F5B1D583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D33D211-E590-4760-A0DD-ECB43BF6DE7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C8E-4E7A-8504-DE3F5B1D58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daten!$S$68:$S$71</c:f>
              <c:numCache>
                <c:formatCode>General</c:formatCode>
                <c:ptCount val="4"/>
                <c:pt idx="0">
                  <c:v>565.80999999999995</c:v>
                </c:pt>
                <c:pt idx="1">
                  <c:v>688.25</c:v>
                </c:pt>
                <c:pt idx="2">
                  <c:v>530.41</c:v>
                </c:pt>
                <c:pt idx="3">
                  <c:v>1052.52</c:v>
                </c:pt>
              </c:numCache>
            </c:numRef>
          </c:xVal>
          <c:yVal>
            <c:numRef>
              <c:f>daten!$T$68:$T$71</c:f>
              <c:numCache>
                <c:formatCode>General</c:formatCode>
                <c:ptCount val="4"/>
                <c:pt idx="0">
                  <c:v>-563.01</c:v>
                </c:pt>
                <c:pt idx="1">
                  <c:v>-621.46</c:v>
                </c:pt>
                <c:pt idx="2">
                  <c:v>26.28</c:v>
                </c:pt>
                <c:pt idx="3">
                  <c:v>-660.81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daten!$U$68:$U$71</c15:f>
                <c15:dlblRangeCache>
                  <c:ptCount val="4"/>
                  <c:pt idx="0">
                    <c:v>672,36</c:v>
                  </c:pt>
                  <c:pt idx="1">
                    <c:v>941,72</c:v>
                  </c:pt>
                  <c:pt idx="2">
                    <c:v>842,51</c:v>
                  </c:pt>
                  <c:pt idx="3">
                    <c:v>963,14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C8E-4E7A-8504-DE3F5B1D58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8304832"/>
        <c:axId val="488299912"/>
      </c:scatterChart>
      <c:valAx>
        <c:axId val="48830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299912"/>
        <c:crosses val="autoZero"/>
        <c:crossBetween val="midCat"/>
      </c:valAx>
      <c:valAx>
        <c:axId val="48829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30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4</a:t>
            </a:r>
            <a:r>
              <a:rPr lang="de-DE" baseline="0"/>
              <a:t> schwach verdrehte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890120D-75CB-4710-893D-BF1DF94DE5A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4FF-4048-A7FD-6F28ED8B5D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05942B5-340E-4061-9A15-C7C2B2C400C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4FF-4048-A7FD-6F28ED8B5D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61B8789-EF64-4A85-8C7B-94BF3BFF20B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4FF-4048-A7FD-6F28ED8B5D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917DBD3-94A9-478F-B6E9-40833693954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4FF-4048-A7FD-6F28ED8B5D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daten!$S$44:$S$47</c:f>
              <c:numCache>
                <c:formatCode>General</c:formatCode>
                <c:ptCount val="4"/>
                <c:pt idx="0">
                  <c:v>497.75</c:v>
                </c:pt>
                <c:pt idx="1">
                  <c:v>465.12</c:v>
                </c:pt>
                <c:pt idx="2">
                  <c:v>103.97</c:v>
                </c:pt>
                <c:pt idx="3">
                  <c:v>622.25</c:v>
                </c:pt>
              </c:numCache>
            </c:numRef>
          </c:xVal>
          <c:yVal>
            <c:numRef>
              <c:f>daten!$T$44:$T$47</c:f>
              <c:numCache>
                <c:formatCode>General</c:formatCode>
                <c:ptCount val="4"/>
                <c:pt idx="0">
                  <c:v>-627.98</c:v>
                </c:pt>
                <c:pt idx="1">
                  <c:v>145.75</c:v>
                </c:pt>
                <c:pt idx="2">
                  <c:v>746.11</c:v>
                </c:pt>
                <c:pt idx="3">
                  <c:v>639.66999999999996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daten!$U$44:$U$47</c15:f>
                <c15:dlblRangeCache>
                  <c:ptCount val="4"/>
                  <c:pt idx="0">
                    <c:v>701,56</c:v>
                  </c:pt>
                  <c:pt idx="1">
                    <c:v>559,36</c:v>
                  </c:pt>
                  <c:pt idx="2">
                    <c:v>754,72</c:v>
                  </c:pt>
                  <c:pt idx="3">
                    <c:v>528,2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C4FF-4048-A7FD-6F28ED8B5D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8304832"/>
        <c:axId val="488299912"/>
      </c:scatterChart>
      <c:valAx>
        <c:axId val="48830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299912"/>
        <c:crosses val="autoZero"/>
        <c:crossBetween val="midCat"/>
      </c:valAx>
      <c:valAx>
        <c:axId val="48829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30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Abweichungen zu den Referenzdaten in Abhängigkeit von der Passpunktanzahl</a:t>
            </a:r>
            <a:endParaRPr lang="de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PA!$P$1</c:f>
              <c:strCache>
                <c:ptCount val="1"/>
                <c:pt idx="0">
                  <c:v>Base; Abweichung Translation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PA!$P$2:$P$46</c:f>
              <c:numCache>
                <c:formatCode>General</c:formatCode>
                <c:ptCount val="45"/>
                <c:pt idx="2" formatCode="0.000">
                  <c:v>1.2014229063906594</c:v>
                </c:pt>
                <c:pt idx="3" formatCode="0.000">
                  <c:v>1.0761770300468225</c:v>
                </c:pt>
                <c:pt idx="4" formatCode="0.000">
                  <c:v>0.94112539015805519</c:v>
                </c:pt>
                <c:pt idx="5" formatCode="0.000">
                  <c:v>0.90280507309176161</c:v>
                </c:pt>
                <c:pt idx="6" formatCode="0.000">
                  <c:v>0.84737063909483146</c:v>
                </c:pt>
                <c:pt idx="7" formatCode="0.000">
                  <c:v>0.85139708714558471</c:v>
                </c:pt>
                <c:pt idx="8" formatCode="0.000">
                  <c:v>0.87616037344771713</c:v>
                </c:pt>
                <c:pt idx="9" formatCode="0.000">
                  <c:v>0.8885701998154274</c:v>
                </c:pt>
                <c:pt idx="10" formatCode="0.000">
                  <c:v>0.83126229314223599</c:v>
                </c:pt>
                <c:pt idx="11" formatCode="0.000">
                  <c:v>0.82609745187846861</c:v>
                </c:pt>
                <c:pt idx="12" formatCode="0.000">
                  <c:v>0.84627241476965953</c:v>
                </c:pt>
                <c:pt idx="13" formatCode="0.000">
                  <c:v>0.87746054042334221</c:v>
                </c:pt>
                <c:pt idx="14" formatCode="0.000">
                  <c:v>0.86741973692096397</c:v>
                </c:pt>
                <c:pt idx="15" formatCode="0.000">
                  <c:v>0.86655467225100158</c:v>
                </c:pt>
                <c:pt idx="16" formatCode="0.000">
                  <c:v>0.8547613702081146</c:v>
                </c:pt>
                <c:pt idx="17" formatCode="0.000">
                  <c:v>0.87067617401651654</c:v>
                </c:pt>
                <c:pt idx="18" formatCode="0.000">
                  <c:v>0.85882303182905617</c:v>
                </c:pt>
                <c:pt idx="19" formatCode="0.000">
                  <c:v>0.85882303182905617</c:v>
                </c:pt>
                <c:pt idx="20" formatCode="0.000">
                  <c:v>0.86655467225100158</c:v>
                </c:pt>
                <c:pt idx="21" formatCode="0.000">
                  <c:v>0.86655467225100158</c:v>
                </c:pt>
                <c:pt idx="22" formatCode="0.000">
                  <c:v>0.88940260849629271</c:v>
                </c:pt>
                <c:pt idx="23" formatCode="0.000">
                  <c:v>0.89353063741542382</c:v>
                </c:pt>
                <c:pt idx="24" formatCode="0.000">
                  <c:v>0.88569577169591718</c:v>
                </c:pt>
                <c:pt idx="29" formatCode="0.000">
                  <c:v>0.89990943988826078</c:v>
                </c:pt>
                <c:pt idx="34" formatCode="0.000">
                  <c:v>0.90575769386739535</c:v>
                </c:pt>
                <c:pt idx="39" formatCode="0.000">
                  <c:v>0.90844757691348288</c:v>
                </c:pt>
                <c:pt idx="44" formatCode="0.000">
                  <c:v>0.88045272445488154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A0-47CC-85D3-178C06B4DC00}"/>
            </c:ext>
          </c:extLst>
        </c:ser>
        <c:ser>
          <c:idx val="1"/>
          <c:order val="1"/>
          <c:tx>
            <c:strRef>
              <c:f>PA!$Q$1</c:f>
              <c:strCache>
                <c:ptCount val="1"/>
                <c:pt idx="0">
                  <c:v>Base; Abweichung Rotation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PA!$Q$2:$Q$46</c:f>
              <c:numCache>
                <c:formatCode>General</c:formatCode>
                <c:ptCount val="45"/>
                <c:pt idx="2" formatCode="0.000">
                  <c:v>1.7381137097439194</c:v>
                </c:pt>
                <c:pt idx="3" formatCode="0.000">
                  <c:v>1.4816455663272023</c:v>
                </c:pt>
                <c:pt idx="4" formatCode="0.000">
                  <c:v>1.3876629057910275</c:v>
                </c:pt>
                <c:pt idx="5" formatCode="0.000">
                  <c:v>1.3216466332693102</c:v>
                </c:pt>
                <c:pt idx="6" formatCode="0.000">
                  <c:v>1.2985316753878191</c:v>
                </c:pt>
                <c:pt idx="7" formatCode="0.000">
                  <c:v>1.2941491670818903</c:v>
                </c:pt>
                <c:pt idx="8" formatCode="0.000">
                  <c:v>1.3130589661580432</c:v>
                </c:pt>
                <c:pt idx="9" formatCode="0.000">
                  <c:v>1.3196790649370758</c:v>
                </c:pt>
                <c:pt idx="10" formatCode="0.000">
                  <c:v>1.3208883991982379</c:v>
                </c:pt>
                <c:pt idx="11" formatCode="0.000">
                  <c:v>1.3273547751661126</c:v>
                </c:pt>
                <c:pt idx="12" formatCode="0.000">
                  <c:v>1.3523265059145699</c:v>
                </c:pt>
                <c:pt idx="13" formatCode="0.000">
                  <c:v>1.3653135482891106</c:v>
                </c:pt>
                <c:pt idx="14" formatCode="0.000">
                  <c:v>1.363083468845371</c:v>
                </c:pt>
                <c:pt idx="15" formatCode="0.000">
                  <c:v>1.3653135482891106</c:v>
                </c:pt>
                <c:pt idx="16" formatCode="0.000">
                  <c:v>1.3463315147061976</c:v>
                </c:pt>
                <c:pt idx="17" formatCode="0.000">
                  <c:v>1.3463315147061976</c:v>
                </c:pt>
                <c:pt idx="18" formatCode="0.000">
                  <c:v>1.363083468845371</c:v>
                </c:pt>
                <c:pt idx="19" formatCode="0.000">
                  <c:v>1.363083468845371</c:v>
                </c:pt>
                <c:pt idx="20" formatCode="0.000">
                  <c:v>1.363083468845371</c:v>
                </c:pt>
                <c:pt idx="21" formatCode="0.000">
                  <c:v>1.363083468845371</c:v>
                </c:pt>
                <c:pt idx="22" formatCode="0.000">
                  <c:v>1.3843006581328778</c:v>
                </c:pt>
                <c:pt idx="23" formatCode="0.000">
                  <c:v>1.3843006581328778</c:v>
                </c:pt>
                <c:pt idx="24" formatCode="0.000">
                  <c:v>1.3675858589940193</c:v>
                </c:pt>
                <c:pt idx="29" formatCode="0.000">
                  <c:v>1.3798528086090336</c:v>
                </c:pt>
                <c:pt idx="34" formatCode="0.000">
                  <c:v>1.3966389077545509</c:v>
                </c:pt>
                <c:pt idx="39" formatCode="0.000">
                  <c:v>1.3988154920346347</c:v>
                </c:pt>
                <c:pt idx="44" formatCode="0.000">
                  <c:v>1.3947481261609034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A0-47CC-85D3-178C06B4DC00}"/>
            </c:ext>
          </c:extLst>
        </c:ser>
        <c:ser>
          <c:idx val="2"/>
          <c:order val="2"/>
          <c:tx>
            <c:strRef>
              <c:f>PA!$R$1</c:f>
              <c:strCache>
                <c:ptCount val="1"/>
                <c:pt idx="0">
                  <c:v>Tool; Abweichung Translation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PA!$R$2:$R$46</c:f>
              <c:numCache>
                <c:formatCode>General</c:formatCode>
                <c:ptCount val="45"/>
                <c:pt idx="2" formatCode="0.000">
                  <c:v>1.1945693784791205</c:v>
                </c:pt>
                <c:pt idx="3" formatCode="0.000">
                  <c:v>0.84834898479339438</c:v>
                </c:pt>
                <c:pt idx="4" formatCode="0.000">
                  <c:v>0.79606281159215475</c:v>
                </c:pt>
                <c:pt idx="5" formatCode="0.000">
                  <c:v>0.69160393289801603</c:v>
                </c:pt>
                <c:pt idx="6" formatCode="0.000">
                  <c:v>0.66040593576981288</c:v>
                </c:pt>
                <c:pt idx="7" formatCode="0.000">
                  <c:v>0.64760790606662744</c:v>
                </c:pt>
                <c:pt idx="8" formatCode="0.000">
                  <c:v>0.654305738932493</c:v>
                </c:pt>
                <c:pt idx="9" formatCode="0.000">
                  <c:v>0.65328095028096789</c:v>
                </c:pt>
                <c:pt idx="10" formatCode="0.000">
                  <c:v>0.66336716831631271</c:v>
                </c:pt>
                <c:pt idx="11" formatCode="0.000">
                  <c:v>0.6756744778367717</c:v>
                </c:pt>
                <c:pt idx="12" formatCode="0.000">
                  <c:v>0.66276390969937637</c:v>
                </c:pt>
                <c:pt idx="13" formatCode="0.000">
                  <c:v>0.69850984245034797</c:v>
                </c:pt>
                <c:pt idx="14" formatCode="0.000">
                  <c:v>0.72616527044469137</c:v>
                </c:pt>
                <c:pt idx="15" formatCode="0.000">
                  <c:v>0.71660030700522714</c:v>
                </c:pt>
                <c:pt idx="16" formatCode="0.000">
                  <c:v>0.71304698302424863</c:v>
                </c:pt>
                <c:pt idx="17" formatCode="0.000">
                  <c:v>0.71311710118323701</c:v>
                </c:pt>
                <c:pt idx="18" formatCode="0.000">
                  <c:v>0.7192051167782435</c:v>
                </c:pt>
                <c:pt idx="19" formatCode="0.000">
                  <c:v>0.7192051167782435</c:v>
                </c:pt>
                <c:pt idx="20" formatCode="0.000">
                  <c:v>0.70975770513604197</c:v>
                </c:pt>
                <c:pt idx="21" formatCode="0.000">
                  <c:v>0.70975770513604197</c:v>
                </c:pt>
                <c:pt idx="22" formatCode="0.000">
                  <c:v>0.72252058794196938</c:v>
                </c:pt>
                <c:pt idx="23" formatCode="0.000">
                  <c:v>0.72272816466497913</c:v>
                </c:pt>
                <c:pt idx="24" formatCode="0.000">
                  <c:v>0.7192051167782435</c:v>
                </c:pt>
                <c:pt idx="29" formatCode="0.000">
                  <c:v>0.72887310281008066</c:v>
                </c:pt>
                <c:pt idx="34" formatCode="0.000">
                  <c:v>0.74816843023480273</c:v>
                </c:pt>
                <c:pt idx="39" formatCode="0.000">
                  <c:v>0.75509999337836053</c:v>
                </c:pt>
                <c:pt idx="44" formatCode="0.000">
                  <c:v>0.74215631776601532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A0-47CC-85D3-178C06B4D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223408"/>
        <c:axId val="443224720"/>
      </c:scatterChart>
      <c:valAx>
        <c:axId val="44322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verwendete Punktanzahl zur Berechnung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3224720"/>
        <c:crosses val="autoZero"/>
        <c:crossBetween val="midCat"/>
      </c:valAx>
      <c:valAx>
        <c:axId val="4432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322340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Abweichungen zu den Referenzdaten in Abhängigkeit von der Passpunktanzahl</a:t>
            </a:r>
            <a:endParaRPr lang="de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 euklid. Distanz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 (2)'!$P$3:$P$47</c:f>
              <c:numCache>
                <c:formatCode>General</c:formatCode>
                <c:ptCount val="45"/>
                <c:pt idx="2" formatCode="0.000">
                  <c:v>1.4237264484444447</c:v>
                </c:pt>
                <c:pt idx="3" formatCode="0.000">
                  <c:v>0.93300428723575402</c:v>
                </c:pt>
                <c:pt idx="4" formatCode="0.000">
                  <c:v>0.88259673690764984</c:v>
                </c:pt>
                <c:pt idx="5" formatCode="0.000">
                  <c:v>0.88259673690764984</c:v>
                </c:pt>
                <c:pt idx="6" formatCode="0.000">
                  <c:v>0.86615067973195803</c:v>
                </c:pt>
                <c:pt idx="7" formatCode="0.000">
                  <c:v>0.86885959740348073</c:v>
                </c:pt>
                <c:pt idx="8" formatCode="0.000">
                  <c:v>0.90339194151823632</c:v>
                </c:pt>
                <c:pt idx="9" formatCode="0.000">
                  <c:v>0.92415204376772697</c:v>
                </c:pt>
                <c:pt idx="10" formatCode="0.000">
                  <c:v>0.90549268357076307</c:v>
                </c:pt>
                <c:pt idx="11" formatCode="0.000">
                  <c:v>0.89918685488617056</c:v>
                </c:pt>
                <c:pt idx="12" formatCode="0.000">
                  <c:v>0.90520550152994961</c:v>
                </c:pt>
                <c:pt idx="13" formatCode="0.000">
                  <c:v>0.92687485670938452</c:v>
                </c:pt>
                <c:pt idx="14" formatCode="0.000">
                  <c:v>0.9111734192787595</c:v>
                </c:pt>
                <c:pt idx="15" formatCode="0.000">
                  <c:v>0.91602237963929756</c:v>
                </c:pt>
                <c:pt idx="16" formatCode="0.000">
                  <c:v>0.90410010507689509</c:v>
                </c:pt>
                <c:pt idx="17" formatCode="0.000">
                  <c:v>0.9160769618323864</c:v>
                </c:pt>
                <c:pt idx="18" formatCode="0.000">
                  <c:v>0.90404479977491181</c:v>
                </c:pt>
                <c:pt idx="19" formatCode="0.000">
                  <c:v>0.89068344545077915</c:v>
                </c:pt>
                <c:pt idx="20" formatCode="0.000">
                  <c:v>0.89068344545077915</c:v>
                </c:pt>
                <c:pt idx="21" formatCode="0.000">
                  <c:v>0.88535699014582847</c:v>
                </c:pt>
                <c:pt idx="22" formatCode="0.000">
                  <c:v>0.89885315819663358</c:v>
                </c:pt>
                <c:pt idx="23" formatCode="0.000">
                  <c:v>0.90926178848561046</c:v>
                </c:pt>
                <c:pt idx="24" formatCode="0.000">
                  <c:v>0.90926178848561046</c:v>
                </c:pt>
                <c:pt idx="29" formatCode="0.000">
                  <c:v>0.91993314974521068</c:v>
                </c:pt>
                <c:pt idx="34" formatCode="0.000">
                  <c:v>0.92657271706009225</c:v>
                </c:pt>
                <c:pt idx="39" formatCode="0.000">
                  <c:v>0.92839485134295829</c:v>
                </c:pt>
                <c:pt idx="44" formatCode="0.000">
                  <c:v>0.9037239622806017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CD-49BE-88C2-67C5C26D43F9}"/>
            </c:ext>
          </c:extLst>
        </c:ser>
        <c:ser>
          <c:idx val="1"/>
          <c:order val="1"/>
          <c:tx>
            <c:v>Base Verdrehung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'PA (2)'!$Q$3:$Q$47</c:f>
              <c:numCache>
                <c:formatCode>General</c:formatCode>
                <c:ptCount val="45"/>
                <c:pt idx="2" formatCode="0.000">
                  <c:v>1.9480963541514746</c:v>
                </c:pt>
                <c:pt idx="3" formatCode="0.000">
                  <c:v>1.3904144159014185</c:v>
                </c:pt>
                <c:pt idx="4" formatCode="0.000">
                  <c:v>1.38188487936704</c:v>
                </c:pt>
                <c:pt idx="5" formatCode="0.000">
                  <c:v>1.38188487936704</c:v>
                </c:pt>
                <c:pt idx="6" formatCode="0.000">
                  <c:v>1.2890818531469455</c:v>
                </c:pt>
                <c:pt idx="7" formatCode="0.000">
                  <c:v>1.303250874041936</c:v>
                </c:pt>
                <c:pt idx="8" formatCode="0.000">
                  <c:v>1.3077070832007698</c:v>
                </c:pt>
                <c:pt idx="9" formatCode="0.000">
                  <c:v>1.3270987849465921</c:v>
                </c:pt>
                <c:pt idx="10" formatCode="0.000">
                  <c:v>1.3442854597204834</c:v>
                </c:pt>
                <c:pt idx="11" formatCode="0.000">
                  <c:v>1.3295976033305033</c:v>
                </c:pt>
                <c:pt idx="12" formatCode="0.000">
                  <c:v>1.3364930922115947</c:v>
                </c:pt>
                <c:pt idx="13" formatCode="0.000">
                  <c:v>1.3388126214340335</c:v>
                </c:pt>
                <c:pt idx="14" formatCode="0.000">
                  <c:v>1.3342129985362527</c:v>
                </c:pt>
                <c:pt idx="15" formatCode="0.000">
                  <c:v>1.3198652429926412</c:v>
                </c:pt>
                <c:pt idx="16" formatCode="0.000">
                  <c:v>1.3175563743513263</c:v>
                </c:pt>
                <c:pt idx="17" formatCode="0.000">
                  <c:v>1.3175563743513263</c:v>
                </c:pt>
                <c:pt idx="18" formatCode="0.000">
                  <c:v>1.3175563743513263</c:v>
                </c:pt>
                <c:pt idx="19" formatCode="0.000">
                  <c:v>1.331972542927381</c:v>
                </c:pt>
                <c:pt idx="20" formatCode="0.000">
                  <c:v>1.331972542927381</c:v>
                </c:pt>
                <c:pt idx="21" formatCode="0.000">
                  <c:v>1.331972542927381</c:v>
                </c:pt>
                <c:pt idx="22" formatCode="0.000">
                  <c:v>1.3342129985362527</c:v>
                </c:pt>
                <c:pt idx="23" formatCode="0.000">
                  <c:v>1.3342129985362527</c:v>
                </c:pt>
                <c:pt idx="24" formatCode="0.000">
                  <c:v>1.3342129985362527</c:v>
                </c:pt>
                <c:pt idx="29" formatCode="0.000">
                  <c:v>1.3486769872068329</c:v>
                </c:pt>
                <c:pt idx="34" formatCode="0.000">
                  <c:v>1.3443699804245151</c:v>
                </c:pt>
                <c:pt idx="39" formatCode="0.000">
                  <c:v>1.3403036167343241</c:v>
                </c:pt>
                <c:pt idx="44" formatCode="0.000">
                  <c:v>1.3403036167343241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CD-49BE-88C2-67C5C26D43F9}"/>
            </c:ext>
          </c:extLst>
        </c:ser>
        <c:ser>
          <c:idx val="2"/>
          <c:order val="2"/>
          <c:tx>
            <c:v>Tool euklid. Distanz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'PA (2)'!$R$3:$R$47</c:f>
              <c:numCache>
                <c:formatCode>General</c:formatCode>
                <c:ptCount val="45"/>
                <c:pt idx="2" formatCode="0.000">
                  <c:v>1.3098915985683679</c:v>
                </c:pt>
                <c:pt idx="3" formatCode="0.000">
                  <c:v>0.74342181835078947</c:v>
                </c:pt>
                <c:pt idx="4" formatCode="0.000">
                  <c:v>0.70482338213199414</c:v>
                </c:pt>
                <c:pt idx="5" formatCode="0.000">
                  <c:v>0.70482338213199414</c:v>
                </c:pt>
                <c:pt idx="6" formatCode="0.000">
                  <c:v>0.59457211505417173</c:v>
                </c:pt>
                <c:pt idx="7" formatCode="0.000">
                  <c:v>0.58879198364107432</c:v>
                </c:pt>
                <c:pt idx="8" formatCode="0.000">
                  <c:v>0.61029173351767119</c:v>
                </c:pt>
                <c:pt idx="9" formatCode="0.000">
                  <c:v>0.61029173351767119</c:v>
                </c:pt>
                <c:pt idx="10" formatCode="0.000">
                  <c:v>0.61377194461787099</c:v>
                </c:pt>
                <c:pt idx="11" formatCode="0.000">
                  <c:v>0.62599999999999245</c:v>
                </c:pt>
                <c:pt idx="12" formatCode="0.000">
                  <c:v>0.60348653671807961</c:v>
                </c:pt>
                <c:pt idx="13" formatCode="0.000">
                  <c:v>0.6413548159950021</c:v>
                </c:pt>
                <c:pt idx="14" formatCode="0.000">
                  <c:v>0.6690560514635403</c:v>
                </c:pt>
                <c:pt idx="15" formatCode="0.000">
                  <c:v>0.65926929247462696</c:v>
                </c:pt>
                <c:pt idx="16" formatCode="0.000">
                  <c:v>0.65632004388102716</c:v>
                </c:pt>
                <c:pt idx="17" formatCode="0.000">
                  <c:v>0.6470363204643188</c:v>
                </c:pt>
                <c:pt idx="18" formatCode="0.000">
                  <c:v>0.65366352200500799</c:v>
                </c:pt>
                <c:pt idx="19" formatCode="0.000">
                  <c:v>0.65366352200500799</c:v>
                </c:pt>
                <c:pt idx="20" formatCode="0.000">
                  <c:v>0.65366352200500799</c:v>
                </c:pt>
                <c:pt idx="21" formatCode="0.000">
                  <c:v>0.65358702557501214</c:v>
                </c:pt>
                <c:pt idx="22" formatCode="0.000">
                  <c:v>0.6632314829680358</c:v>
                </c:pt>
                <c:pt idx="23" formatCode="0.000">
                  <c:v>0.66330686714369236</c:v>
                </c:pt>
                <c:pt idx="24" formatCode="0.000">
                  <c:v>0.66330686714369236</c:v>
                </c:pt>
                <c:pt idx="29" formatCode="0.000">
                  <c:v>0.67355474907390023</c:v>
                </c:pt>
                <c:pt idx="34" formatCode="0.000">
                  <c:v>0.70304765130110969</c:v>
                </c:pt>
                <c:pt idx="39" formatCode="0.000">
                  <c:v>0.70254964237412199</c:v>
                </c:pt>
                <c:pt idx="44" formatCode="0.000">
                  <c:v>0.70254964237412199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CD-49BE-88C2-67C5C26D4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223408"/>
        <c:axId val="443224720"/>
      </c:scatterChart>
      <c:valAx>
        <c:axId val="44322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verwendete Punktanzahl zur Berechnung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3224720"/>
        <c:crosses val="autoZero"/>
        <c:crossBetween val="midCat"/>
      </c:valAx>
      <c:valAx>
        <c:axId val="44322472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322340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Abweichungen bei unterschiedlicher</a:t>
            </a:r>
            <a:r>
              <a:rPr lang="de-DE" baseline="0"/>
              <a:t> Verdrehung, unterschiedliche Anzahl an Passpunkten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Verd!$P$1</c:f>
              <c:strCache>
                <c:ptCount val="1"/>
                <c:pt idx="0">
                  <c:v>Base; Abweichung Translation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Verd!$P$4:$P$29</c:f>
              <c:numCache>
                <c:formatCode>0.000</c:formatCode>
                <c:ptCount val="26"/>
                <c:pt idx="0">
                  <c:v>0.85139708714558471</c:v>
                </c:pt>
                <c:pt idx="1">
                  <c:v>0.87616037344771713</c:v>
                </c:pt>
                <c:pt idx="2">
                  <c:v>0.8885701998154274</c:v>
                </c:pt>
                <c:pt idx="3">
                  <c:v>0.83126229314223599</c:v>
                </c:pt>
                <c:pt idx="4">
                  <c:v>0.82609745187846861</c:v>
                </c:pt>
                <c:pt idx="5">
                  <c:v>0.84627241476965953</c:v>
                </c:pt>
                <c:pt idx="6">
                  <c:v>0.87746054042334221</c:v>
                </c:pt>
                <c:pt idx="7">
                  <c:v>0.86741973692096397</c:v>
                </c:pt>
                <c:pt idx="9">
                  <c:v>1.0040004980079402</c:v>
                </c:pt>
                <c:pt idx="10">
                  <c:v>1.0076591685685161</c:v>
                </c:pt>
                <c:pt idx="11">
                  <c:v>0.98888674781303088</c:v>
                </c:pt>
                <c:pt idx="12">
                  <c:v>0.96368926527170917</c:v>
                </c:pt>
                <c:pt idx="13">
                  <c:v>0.96524452860403354</c:v>
                </c:pt>
                <c:pt idx="14">
                  <c:v>0.96012342956519448</c:v>
                </c:pt>
                <c:pt idx="15">
                  <c:v>0.97263405245751577</c:v>
                </c:pt>
                <c:pt idx="16">
                  <c:v>0.97693244392861711</c:v>
                </c:pt>
                <c:pt idx="18">
                  <c:v>0.85714467856953169</c:v>
                </c:pt>
                <c:pt idx="19">
                  <c:v>0.8670392147995678</c:v>
                </c:pt>
                <c:pt idx="20">
                  <c:v>0.95045094560425281</c:v>
                </c:pt>
                <c:pt idx="21">
                  <c:v>0.86981434800770041</c:v>
                </c:pt>
                <c:pt idx="22">
                  <c:v>0.82592796296048465</c:v>
                </c:pt>
                <c:pt idx="23">
                  <c:v>0.85336803314866183</c:v>
                </c:pt>
                <c:pt idx="24">
                  <c:v>0.83616804531148192</c:v>
                </c:pt>
                <c:pt idx="25">
                  <c:v>0.81126875941338106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39-4120-A7DF-EDD902EEE9C9}"/>
            </c:ext>
          </c:extLst>
        </c:ser>
        <c:ser>
          <c:idx val="1"/>
          <c:order val="1"/>
          <c:tx>
            <c:strRef>
              <c:f>Verd!$Q$1</c:f>
              <c:strCache>
                <c:ptCount val="1"/>
                <c:pt idx="0">
                  <c:v>Base; Abweichung Rotation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Verd!$Q$4:$Q$29</c:f>
              <c:numCache>
                <c:formatCode>0.000</c:formatCode>
                <c:ptCount val="26"/>
                <c:pt idx="0">
                  <c:v>1.2941491670818903</c:v>
                </c:pt>
                <c:pt idx="1">
                  <c:v>1.3130589661580432</c:v>
                </c:pt>
                <c:pt idx="2">
                  <c:v>1.3196790649370758</c:v>
                </c:pt>
                <c:pt idx="3">
                  <c:v>1.3208883991982379</c:v>
                </c:pt>
                <c:pt idx="4">
                  <c:v>1.3273547751661126</c:v>
                </c:pt>
                <c:pt idx="5">
                  <c:v>1.3523265059145699</c:v>
                </c:pt>
                <c:pt idx="6">
                  <c:v>1.3653135482891106</c:v>
                </c:pt>
                <c:pt idx="7">
                  <c:v>1.363083468845371</c:v>
                </c:pt>
                <c:pt idx="9">
                  <c:v>1.4571219017562127</c:v>
                </c:pt>
                <c:pt idx="10">
                  <c:v>1.4849463377728183</c:v>
                </c:pt>
                <c:pt idx="11">
                  <c:v>1.4365004166891138</c:v>
                </c:pt>
                <c:pt idx="12">
                  <c:v>1.4491927357933903</c:v>
                </c:pt>
                <c:pt idx="13">
                  <c:v>1.4491927357933903</c:v>
                </c:pt>
                <c:pt idx="14">
                  <c:v>1.4472520965848197</c:v>
                </c:pt>
                <c:pt idx="15">
                  <c:v>1.4323845209056145</c:v>
                </c:pt>
                <c:pt idx="16">
                  <c:v>1.4264422418027438</c:v>
                </c:pt>
                <c:pt idx="18">
                  <c:v>1.2528294081209368</c:v>
                </c:pt>
                <c:pt idx="19">
                  <c:v>1.2863260757702037</c:v>
                </c:pt>
                <c:pt idx="20">
                  <c:v>1.3989000346643932</c:v>
                </c:pt>
                <c:pt idx="21">
                  <c:v>1.4125861730737592</c:v>
                </c:pt>
                <c:pt idx="22">
                  <c:v>1.4271227494771579</c:v>
                </c:pt>
                <c:pt idx="23">
                  <c:v>1.4163920754150801</c:v>
                </c:pt>
                <c:pt idx="24">
                  <c:v>1.4150788854990715</c:v>
                </c:pt>
                <c:pt idx="25">
                  <c:v>1.3969767768656653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39-4120-A7DF-EDD902EEE9C9}"/>
            </c:ext>
          </c:extLst>
        </c:ser>
        <c:ser>
          <c:idx val="2"/>
          <c:order val="2"/>
          <c:tx>
            <c:strRef>
              <c:f>Verd!$R$1</c:f>
              <c:strCache>
                <c:ptCount val="1"/>
                <c:pt idx="0">
                  <c:v>Tool; Abweichung Translation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Verd!$R$4:$R$29</c:f>
              <c:numCache>
                <c:formatCode>0.000</c:formatCode>
                <c:ptCount val="26"/>
                <c:pt idx="0">
                  <c:v>0.64760790606662744</c:v>
                </c:pt>
                <c:pt idx="1">
                  <c:v>0.654305738932493</c:v>
                </c:pt>
                <c:pt idx="2">
                  <c:v>0.65328095028096789</c:v>
                </c:pt>
                <c:pt idx="3">
                  <c:v>0.66336716831631271</c:v>
                </c:pt>
                <c:pt idx="4">
                  <c:v>0.6756744778367717</c:v>
                </c:pt>
                <c:pt idx="5">
                  <c:v>0.66276390969937637</c:v>
                </c:pt>
                <c:pt idx="6">
                  <c:v>0.69850984245034797</c:v>
                </c:pt>
                <c:pt idx="7">
                  <c:v>0.72616527044469137</c:v>
                </c:pt>
                <c:pt idx="9">
                  <c:v>0.79540932858498326</c:v>
                </c:pt>
                <c:pt idx="10">
                  <c:v>0.77286221281674838</c:v>
                </c:pt>
                <c:pt idx="11">
                  <c:v>0.73633959556714279</c:v>
                </c:pt>
                <c:pt idx="12">
                  <c:v>0.72885938287161056</c:v>
                </c:pt>
                <c:pt idx="13">
                  <c:v>0.76119379923905217</c:v>
                </c:pt>
                <c:pt idx="14">
                  <c:v>0.76994545261337233</c:v>
                </c:pt>
                <c:pt idx="15">
                  <c:v>0.7262616608358059</c:v>
                </c:pt>
                <c:pt idx="16">
                  <c:v>0.75260613869406867</c:v>
                </c:pt>
                <c:pt idx="18">
                  <c:v>0.95673193737847573</c:v>
                </c:pt>
                <c:pt idx="19">
                  <c:v>0.92215833781406131</c:v>
                </c:pt>
                <c:pt idx="20">
                  <c:v>0.84706316175358043</c:v>
                </c:pt>
                <c:pt idx="21">
                  <c:v>0.81964382508500089</c:v>
                </c:pt>
                <c:pt idx="22">
                  <c:v>0.77705598253921504</c:v>
                </c:pt>
                <c:pt idx="23">
                  <c:v>0.76573885888076265</c:v>
                </c:pt>
                <c:pt idx="24">
                  <c:v>0.76663941980569617</c:v>
                </c:pt>
                <c:pt idx="25">
                  <c:v>0.75309760323613673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39-4120-A7DF-EDD902EEE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223408"/>
        <c:axId val="443224720"/>
      </c:scatterChart>
      <c:valAx>
        <c:axId val="4432234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verwendete Punktanzahl zur Berechnung</a:t>
                </a:r>
              </a:p>
            </c:rich>
          </c:tx>
          <c:layout>
            <c:manualLayout>
              <c:xMode val="edge"/>
              <c:yMode val="edge"/>
              <c:x val="0.32924114392587445"/>
              <c:y val="0.754080797776356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crossAx val="443224720"/>
        <c:crosses val="autoZero"/>
        <c:crossBetween val="midCat"/>
      </c:valAx>
      <c:valAx>
        <c:axId val="4432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322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starke Verdrehung</a:t>
            </a:r>
            <a:r>
              <a:rPr lang="de-DE" baseline="0"/>
              <a:t> der Achsen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Verd!$P$1</c:f>
              <c:strCache>
                <c:ptCount val="1"/>
                <c:pt idx="0">
                  <c:v>Base; Abweichung Translation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Verd!$P$4:$P$11</c:f>
              <c:numCache>
                <c:formatCode>0.000</c:formatCode>
                <c:ptCount val="8"/>
                <c:pt idx="0">
                  <c:v>0.85139708714558471</c:v>
                </c:pt>
                <c:pt idx="1">
                  <c:v>0.87616037344771713</c:v>
                </c:pt>
                <c:pt idx="2">
                  <c:v>0.8885701998154274</c:v>
                </c:pt>
                <c:pt idx="3">
                  <c:v>0.83126229314223599</c:v>
                </c:pt>
                <c:pt idx="4">
                  <c:v>0.82609745187846861</c:v>
                </c:pt>
                <c:pt idx="5">
                  <c:v>0.84627241476965953</c:v>
                </c:pt>
                <c:pt idx="6">
                  <c:v>0.87746054042334221</c:v>
                </c:pt>
                <c:pt idx="7">
                  <c:v>0.86741973692096397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E2-4B46-BB28-711699C001EE}"/>
            </c:ext>
          </c:extLst>
        </c:ser>
        <c:ser>
          <c:idx val="1"/>
          <c:order val="1"/>
          <c:tx>
            <c:strRef>
              <c:f>Verd!$Q$1</c:f>
              <c:strCache>
                <c:ptCount val="1"/>
                <c:pt idx="0">
                  <c:v>Base; Abweichung Rotation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Verd!$Q$4:$Q$11</c:f>
              <c:numCache>
                <c:formatCode>0.000</c:formatCode>
                <c:ptCount val="8"/>
                <c:pt idx="0">
                  <c:v>1.2941491670818903</c:v>
                </c:pt>
                <c:pt idx="1">
                  <c:v>1.3130589661580432</c:v>
                </c:pt>
                <c:pt idx="2">
                  <c:v>1.3196790649370758</c:v>
                </c:pt>
                <c:pt idx="3">
                  <c:v>1.3208883991982379</c:v>
                </c:pt>
                <c:pt idx="4">
                  <c:v>1.3273547751661126</c:v>
                </c:pt>
                <c:pt idx="5">
                  <c:v>1.3523265059145699</c:v>
                </c:pt>
                <c:pt idx="6">
                  <c:v>1.3653135482891106</c:v>
                </c:pt>
                <c:pt idx="7">
                  <c:v>1.363083468845371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E2-4B46-BB28-711699C001EE}"/>
            </c:ext>
          </c:extLst>
        </c:ser>
        <c:ser>
          <c:idx val="2"/>
          <c:order val="2"/>
          <c:tx>
            <c:strRef>
              <c:f>Verd!$R$1</c:f>
              <c:strCache>
                <c:ptCount val="1"/>
                <c:pt idx="0">
                  <c:v>Tool; Abweichung Translation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Verd!$R$4:$R$11</c:f>
              <c:numCache>
                <c:formatCode>0.000</c:formatCode>
                <c:ptCount val="8"/>
                <c:pt idx="0">
                  <c:v>0.64760790606662744</c:v>
                </c:pt>
                <c:pt idx="1">
                  <c:v>0.654305738932493</c:v>
                </c:pt>
                <c:pt idx="2">
                  <c:v>0.65328095028096789</c:v>
                </c:pt>
                <c:pt idx="3">
                  <c:v>0.66336716831631271</c:v>
                </c:pt>
                <c:pt idx="4">
                  <c:v>0.6756744778367717</c:v>
                </c:pt>
                <c:pt idx="5">
                  <c:v>0.66276390969937637</c:v>
                </c:pt>
                <c:pt idx="6">
                  <c:v>0.69850984245034797</c:v>
                </c:pt>
                <c:pt idx="7">
                  <c:v>0.72616527044469137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E2-4B46-BB28-711699C00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362160"/>
        <c:axId val="585360192"/>
      </c:scatterChart>
      <c:valAx>
        <c:axId val="5853621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baseline="0">
                    <a:effectLst/>
                  </a:rPr>
                  <a:t>verwendete Punktanzahl zur Berechnung</a:t>
                </a:r>
                <a:endParaRPr lang="de-DE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crossAx val="585360192"/>
        <c:crosses val="autoZero"/>
        <c:crossBetween val="midCat"/>
      </c:valAx>
      <c:valAx>
        <c:axId val="5853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baseline="0">
                    <a:effectLst/>
                  </a:rPr>
                  <a:t>Abweichung in mm</a:t>
                </a:r>
                <a:endParaRPr lang="de-DE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536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Kumulierte Abweichungen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val>
            <c:numRef>
              <c:f>Verd!$S$4:$S$29</c:f>
              <c:numCache>
                <c:formatCode>0.000</c:formatCode>
                <c:ptCount val="26"/>
                <c:pt idx="0">
                  <c:v>2.7931541602941024</c:v>
                </c:pt>
                <c:pt idx="1">
                  <c:v>2.8435250785382533</c:v>
                </c:pt>
                <c:pt idx="2">
                  <c:v>2.8615302150334707</c:v>
                </c:pt>
                <c:pt idx="3">
                  <c:v>2.8155178606567866</c:v>
                </c:pt>
                <c:pt idx="4">
                  <c:v>2.8291267048813529</c:v>
                </c:pt>
                <c:pt idx="5">
                  <c:v>2.8613628303836056</c:v>
                </c:pt>
                <c:pt idx="6">
                  <c:v>2.9412839311628005</c:v>
                </c:pt>
                <c:pt idx="7">
                  <c:v>2.9566684762110267</c:v>
                </c:pt>
                <c:pt idx="9">
                  <c:v>3.2565317283491364</c:v>
                </c:pt>
                <c:pt idx="10">
                  <c:v>3.2654677191580825</c:v>
                </c:pt>
                <c:pt idx="11">
                  <c:v>3.1617267600692873</c:v>
                </c:pt>
                <c:pt idx="12">
                  <c:v>3.1417413839367097</c:v>
                </c:pt>
                <c:pt idx="13">
                  <c:v>3.1756310636364762</c:v>
                </c:pt>
                <c:pt idx="14">
                  <c:v>3.1773209787633867</c:v>
                </c:pt>
                <c:pt idx="15">
                  <c:v>3.1312802341989361</c:v>
                </c:pt>
                <c:pt idx="16">
                  <c:v>3.1559808244254297</c:v>
                </c:pt>
                <c:pt idx="18">
                  <c:v>3.0667060240689441</c:v>
                </c:pt>
                <c:pt idx="19">
                  <c:v>3.075523628383833</c:v>
                </c:pt>
                <c:pt idx="20">
                  <c:v>3.1964141420222267</c:v>
                </c:pt>
                <c:pt idx="21">
                  <c:v>3.1020443461664606</c:v>
                </c:pt>
                <c:pt idx="22">
                  <c:v>3.0301066949768578</c:v>
                </c:pt>
                <c:pt idx="23">
                  <c:v>3.0354989674445045</c:v>
                </c:pt>
                <c:pt idx="24">
                  <c:v>3.0178863506162492</c:v>
                </c:pt>
                <c:pt idx="25">
                  <c:v>2.9613431395151828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B6-4FEF-BC4D-BB9E05240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734832"/>
        <c:axId val="453735160"/>
      </c:barChart>
      <c:catAx>
        <c:axId val="453734832"/>
        <c:scaling>
          <c:orientation val="minMax"/>
        </c:scaling>
        <c:delete val="1"/>
        <c:axPos val="b"/>
        <c:majorTickMark val="none"/>
        <c:minorTickMark val="none"/>
        <c:tickLblPos val="nextTo"/>
        <c:crossAx val="453735160"/>
        <c:crosses val="autoZero"/>
        <c:auto val="1"/>
        <c:lblAlgn val="ctr"/>
        <c:lblOffset val="100"/>
        <c:noMultiLvlLbl val="0"/>
      </c:catAx>
      <c:valAx>
        <c:axId val="453735160"/>
        <c:scaling>
          <c:orientation val="minMax"/>
          <c:min val="2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Abweichung</a:t>
                </a:r>
                <a:r>
                  <a:rPr lang="en-US" baseline="0"/>
                  <a:t> </a:t>
                </a:r>
                <a:r>
                  <a:rPr lang="en-US"/>
                  <a:t>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37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Abweichungen bei unterschiedlicher</a:t>
            </a:r>
            <a:r>
              <a:rPr lang="de-DE" baseline="0"/>
              <a:t> Verdrehung, Auswertung mit jeweils 8 Passpunkten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'Verd (2)'!$P$1</c:f>
              <c:strCache>
                <c:ptCount val="1"/>
                <c:pt idx="0">
                  <c:v>Base; Abweichung Translation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'Verd (2)'!$P$4:$P$29</c:f>
              <c:numCache>
                <c:formatCode>0.000</c:formatCode>
                <c:ptCount val="26"/>
                <c:pt idx="0">
                  <c:v>0.85139708714558471</c:v>
                </c:pt>
                <c:pt idx="1">
                  <c:v>0.90486297305173746</c:v>
                </c:pt>
                <c:pt idx="2">
                  <c:v>0.88153105447285429</c:v>
                </c:pt>
                <c:pt idx="3">
                  <c:v>0.79162933245307876</c:v>
                </c:pt>
                <c:pt idx="4">
                  <c:v>0.78262187549297857</c:v>
                </c:pt>
                <c:pt idx="5">
                  <c:v>0.8582289904216055</c:v>
                </c:pt>
                <c:pt idx="6">
                  <c:v>0.87034303581980255</c:v>
                </c:pt>
                <c:pt idx="7">
                  <c:v>0.86261057262244256</c:v>
                </c:pt>
                <c:pt idx="9">
                  <c:v>1.0040004980079402</c:v>
                </c:pt>
                <c:pt idx="10">
                  <c:v>1.0869484808398735</c:v>
                </c:pt>
                <c:pt idx="11">
                  <c:v>1.0699331754834966</c:v>
                </c:pt>
                <c:pt idx="12">
                  <c:v>1.0081949216298867</c:v>
                </c:pt>
                <c:pt idx="13">
                  <c:v>0.99555863714817205</c:v>
                </c:pt>
                <c:pt idx="14">
                  <c:v>0.99125022068109903</c:v>
                </c:pt>
                <c:pt idx="15">
                  <c:v>0.9723255627617452</c:v>
                </c:pt>
                <c:pt idx="16">
                  <c:v>1.0103053993719959</c:v>
                </c:pt>
                <c:pt idx="18">
                  <c:v>0.85714467856953169</c:v>
                </c:pt>
                <c:pt idx="19">
                  <c:v>1.019616104227548</c:v>
                </c:pt>
                <c:pt idx="20">
                  <c:v>1.0414206642851056</c:v>
                </c:pt>
                <c:pt idx="21">
                  <c:v>0.89394462915775141</c:v>
                </c:pt>
                <c:pt idx="22">
                  <c:v>0.82276181243424196</c:v>
                </c:pt>
                <c:pt idx="23">
                  <c:v>0.85485495845789239</c:v>
                </c:pt>
                <c:pt idx="24">
                  <c:v>0.74571911602166552</c:v>
                </c:pt>
                <c:pt idx="25">
                  <c:v>0.64553621122294624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96-4C48-A753-E88C59D49B96}"/>
            </c:ext>
          </c:extLst>
        </c:ser>
        <c:ser>
          <c:idx val="1"/>
          <c:order val="1"/>
          <c:tx>
            <c:strRef>
              <c:f>'Verd (2)'!$Q$1</c:f>
              <c:strCache>
                <c:ptCount val="1"/>
                <c:pt idx="0">
                  <c:v>Base; Abweichung Rotation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'Verd (2)'!$Q$4:$Q$29</c:f>
              <c:numCache>
                <c:formatCode>0.000</c:formatCode>
                <c:ptCount val="26"/>
                <c:pt idx="0">
                  <c:v>1.2941491670818903</c:v>
                </c:pt>
                <c:pt idx="1">
                  <c:v>1.3009206388416259</c:v>
                </c:pt>
                <c:pt idx="2">
                  <c:v>1.2839314244183704</c:v>
                </c:pt>
                <c:pt idx="3">
                  <c:v>1.2886630249372613</c:v>
                </c:pt>
                <c:pt idx="4">
                  <c:v>1.3005440203329555</c:v>
                </c:pt>
                <c:pt idx="5">
                  <c:v>1.3690051037697246</c:v>
                </c:pt>
                <c:pt idx="6">
                  <c:v>1.3720736101129487</c:v>
                </c:pt>
                <c:pt idx="7">
                  <c:v>1.3579507212828956</c:v>
                </c:pt>
                <c:pt idx="9">
                  <c:v>1.4571219017562127</c:v>
                </c:pt>
                <c:pt idx="10">
                  <c:v>1.5787898692156468</c:v>
                </c:pt>
                <c:pt idx="11">
                  <c:v>1.4902638196300717</c:v>
                </c:pt>
                <c:pt idx="12">
                  <c:v>1.4723137900898751</c:v>
                </c:pt>
                <c:pt idx="13">
                  <c:v>1.4535147171975531</c:v>
                </c:pt>
                <c:pt idx="14">
                  <c:v>1.4535147171975531</c:v>
                </c:pt>
                <c:pt idx="15">
                  <c:v>1.4156754596485754</c:v>
                </c:pt>
                <c:pt idx="16">
                  <c:v>1.4264422418027438</c:v>
                </c:pt>
                <c:pt idx="18">
                  <c:v>1.2528294081209368</c:v>
                </c:pt>
                <c:pt idx="19">
                  <c:v>1.3388454655709321</c:v>
                </c:pt>
                <c:pt idx="20">
                  <c:v>1.4285171799285332</c:v>
                </c:pt>
                <c:pt idx="21">
                  <c:v>1.409480122019332</c:v>
                </c:pt>
                <c:pt idx="22">
                  <c:v>1.4084769809308546</c:v>
                </c:pt>
                <c:pt idx="23">
                  <c:v>1.3810191074705527</c:v>
                </c:pt>
                <c:pt idx="24">
                  <c:v>1.3827288606076369</c:v>
                </c:pt>
                <c:pt idx="25">
                  <c:v>1.3017089200710619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96-4C48-A753-E88C59D49B96}"/>
            </c:ext>
          </c:extLst>
        </c:ser>
        <c:ser>
          <c:idx val="2"/>
          <c:order val="2"/>
          <c:tx>
            <c:strRef>
              <c:f>'Verd (2)'!$R$1</c:f>
              <c:strCache>
                <c:ptCount val="1"/>
                <c:pt idx="0">
                  <c:v>Tool; Abweichung Translation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'Verd (2)'!$R$4:$R$29</c:f>
              <c:numCache>
                <c:formatCode>0.000</c:formatCode>
                <c:ptCount val="26"/>
                <c:pt idx="0">
                  <c:v>0.64760790606662744</c:v>
                </c:pt>
                <c:pt idx="1">
                  <c:v>0.65905690194397726</c:v>
                </c:pt>
                <c:pt idx="2">
                  <c:v>0.66336716831631271</c:v>
                </c:pt>
                <c:pt idx="3">
                  <c:v>0.68497883178971797</c:v>
                </c:pt>
                <c:pt idx="4">
                  <c:v>0.65662470255085081</c:v>
                </c:pt>
                <c:pt idx="5">
                  <c:v>0.64041861309613957</c:v>
                </c:pt>
                <c:pt idx="6">
                  <c:v>0.76028678799516058</c:v>
                </c:pt>
                <c:pt idx="7">
                  <c:v>0.83037100142044329</c:v>
                </c:pt>
                <c:pt idx="9">
                  <c:v>0.79540932858498326</c:v>
                </c:pt>
                <c:pt idx="10">
                  <c:v>0.85024467066838316</c:v>
                </c:pt>
                <c:pt idx="11">
                  <c:v>0.76695241051841911</c:v>
                </c:pt>
                <c:pt idx="12">
                  <c:v>0.78306832396668902</c:v>
                </c:pt>
                <c:pt idx="13">
                  <c:v>0.76308321957698988</c:v>
                </c:pt>
                <c:pt idx="14">
                  <c:v>0.77772488709055132</c:v>
                </c:pt>
                <c:pt idx="15">
                  <c:v>0.72700481428941388</c:v>
                </c:pt>
                <c:pt idx="16">
                  <c:v>0.76240146904370265</c:v>
                </c:pt>
                <c:pt idx="18">
                  <c:v>0.95673193737847573</c:v>
                </c:pt>
                <c:pt idx="19">
                  <c:v>0.88804053961516471</c:v>
                </c:pt>
                <c:pt idx="20">
                  <c:v>0.83658591907824242</c:v>
                </c:pt>
                <c:pt idx="21">
                  <c:v>0.77499419352663468</c:v>
                </c:pt>
                <c:pt idx="22">
                  <c:v>0.7417519801119502</c:v>
                </c:pt>
                <c:pt idx="23">
                  <c:v>0.73077766796747767</c:v>
                </c:pt>
                <c:pt idx="24">
                  <c:v>0.77078920594414835</c:v>
                </c:pt>
                <c:pt idx="25">
                  <c:v>0.71523143107667198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96-4C48-A753-E88C59D4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223408"/>
        <c:axId val="443224720"/>
      </c:scatterChart>
      <c:valAx>
        <c:axId val="4432234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crossAx val="443224720"/>
        <c:crosses val="autoZero"/>
        <c:crossBetween val="midCat"/>
      </c:valAx>
      <c:valAx>
        <c:axId val="4432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322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starke Verdrehung</a:t>
            </a:r>
            <a:r>
              <a:rPr lang="de-DE" baseline="0"/>
              <a:t> der Achsen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'Verd (2)'!$P$1</c:f>
              <c:strCache>
                <c:ptCount val="1"/>
                <c:pt idx="0">
                  <c:v>Base; Abweichung Translation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'Verd (2)'!$P$4:$P$11</c:f>
              <c:numCache>
                <c:formatCode>0.000</c:formatCode>
                <c:ptCount val="8"/>
                <c:pt idx="0">
                  <c:v>0.85139708714558471</c:v>
                </c:pt>
                <c:pt idx="1">
                  <c:v>0.90486297305173746</c:v>
                </c:pt>
                <c:pt idx="2">
                  <c:v>0.88153105447285429</c:v>
                </c:pt>
                <c:pt idx="3">
                  <c:v>0.79162933245307876</c:v>
                </c:pt>
                <c:pt idx="4">
                  <c:v>0.78262187549297857</c:v>
                </c:pt>
                <c:pt idx="5">
                  <c:v>0.8582289904216055</c:v>
                </c:pt>
                <c:pt idx="6">
                  <c:v>0.87034303581980255</c:v>
                </c:pt>
                <c:pt idx="7">
                  <c:v>0.86261057262244256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1D-49C7-ABA6-54681B21B157}"/>
            </c:ext>
          </c:extLst>
        </c:ser>
        <c:ser>
          <c:idx val="1"/>
          <c:order val="1"/>
          <c:tx>
            <c:strRef>
              <c:f>'Verd (2)'!$Q$1</c:f>
              <c:strCache>
                <c:ptCount val="1"/>
                <c:pt idx="0">
                  <c:v>Base; Abweichung Rotation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'Verd (2)'!$Q$4:$Q$11</c:f>
              <c:numCache>
                <c:formatCode>0.000</c:formatCode>
                <c:ptCount val="8"/>
                <c:pt idx="0">
                  <c:v>1.2941491670818903</c:v>
                </c:pt>
                <c:pt idx="1">
                  <c:v>1.3009206388416259</c:v>
                </c:pt>
                <c:pt idx="2">
                  <c:v>1.2839314244183704</c:v>
                </c:pt>
                <c:pt idx="3">
                  <c:v>1.2886630249372613</c:v>
                </c:pt>
                <c:pt idx="4">
                  <c:v>1.3005440203329555</c:v>
                </c:pt>
                <c:pt idx="5">
                  <c:v>1.3690051037697246</c:v>
                </c:pt>
                <c:pt idx="6">
                  <c:v>1.3720736101129487</c:v>
                </c:pt>
                <c:pt idx="7">
                  <c:v>1.3579507212828956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1D-49C7-ABA6-54681B21B157}"/>
            </c:ext>
          </c:extLst>
        </c:ser>
        <c:ser>
          <c:idx val="2"/>
          <c:order val="2"/>
          <c:tx>
            <c:strRef>
              <c:f>'Verd (2)'!$R$1</c:f>
              <c:strCache>
                <c:ptCount val="1"/>
                <c:pt idx="0">
                  <c:v>Tool; Abweichung Translation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'Verd (2)'!$R$4:$R$11</c:f>
              <c:numCache>
                <c:formatCode>0.000</c:formatCode>
                <c:ptCount val="8"/>
                <c:pt idx="0">
                  <c:v>0.64760790606662744</c:v>
                </c:pt>
                <c:pt idx="1">
                  <c:v>0.65905690194397726</c:v>
                </c:pt>
                <c:pt idx="2">
                  <c:v>0.66336716831631271</c:v>
                </c:pt>
                <c:pt idx="3">
                  <c:v>0.68497883178971797</c:v>
                </c:pt>
                <c:pt idx="4">
                  <c:v>0.65662470255085081</c:v>
                </c:pt>
                <c:pt idx="5">
                  <c:v>0.64041861309613957</c:v>
                </c:pt>
                <c:pt idx="6">
                  <c:v>0.76028678799516058</c:v>
                </c:pt>
                <c:pt idx="7">
                  <c:v>0.83037100142044329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1D-49C7-ABA6-54681B21B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362160"/>
        <c:axId val="585360192"/>
      </c:scatterChart>
      <c:valAx>
        <c:axId val="5853621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baseline="0">
                    <a:effectLst/>
                  </a:rPr>
                  <a:t>verwendete Punktanzahl zur Berechnung</a:t>
                </a:r>
                <a:endParaRPr lang="de-DE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crossAx val="585360192"/>
        <c:crosses val="autoZero"/>
        <c:crossBetween val="midCat"/>
      </c:valAx>
      <c:valAx>
        <c:axId val="5853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baseline="0">
                    <a:effectLst/>
                  </a:rPr>
                  <a:t>Abweichung in mm</a:t>
                </a:r>
                <a:endParaRPr lang="de-DE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536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Kumulierte</a:t>
            </a:r>
            <a:r>
              <a:rPr lang="de-DE" baseline="0"/>
              <a:t> Abweichungen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val>
            <c:numRef>
              <c:f>'Verd (2)'!$S$4:$S$29</c:f>
              <c:numCache>
                <c:formatCode>0.000</c:formatCode>
                <c:ptCount val="26"/>
                <c:pt idx="0">
                  <c:v>2.7931541602941024</c:v>
                </c:pt>
                <c:pt idx="1">
                  <c:v>2.8648405138373407</c:v>
                </c:pt>
                <c:pt idx="2">
                  <c:v>2.8288296472075372</c:v>
                </c:pt>
                <c:pt idx="3">
                  <c:v>2.7652711891800581</c:v>
                </c:pt>
                <c:pt idx="4">
                  <c:v>2.7397905983767847</c:v>
                </c:pt>
                <c:pt idx="5">
                  <c:v>2.8676527072874696</c:v>
                </c:pt>
                <c:pt idx="6">
                  <c:v>3.0027034339279117</c:v>
                </c:pt>
                <c:pt idx="7">
                  <c:v>3.0509322953257816</c:v>
                </c:pt>
                <c:pt idx="9">
                  <c:v>3.2565317283491364</c:v>
                </c:pt>
                <c:pt idx="10">
                  <c:v>3.5159830207239033</c:v>
                </c:pt>
                <c:pt idx="11">
                  <c:v>3.3271494056319875</c:v>
                </c:pt>
                <c:pt idx="12">
                  <c:v>3.2635770356864509</c:v>
                </c:pt>
                <c:pt idx="13">
                  <c:v>3.2121565739227149</c:v>
                </c:pt>
                <c:pt idx="14">
                  <c:v>3.2224898249692036</c:v>
                </c:pt>
                <c:pt idx="15">
                  <c:v>3.1150058366997344</c:v>
                </c:pt>
                <c:pt idx="16">
                  <c:v>3.1991491102184422</c:v>
                </c:pt>
                <c:pt idx="18">
                  <c:v>3.0667060240689441</c:v>
                </c:pt>
                <c:pt idx="19">
                  <c:v>3.2465021094136448</c:v>
                </c:pt>
                <c:pt idx="20">
                  <c:v>3.3065237632918811</c:v>
                </c:pt>
                <c:pt idx="21">
                  <c:v>3.078418944703718</c:v>
                </c:pt>
                <c:pt idx="22">
                  <c:v>2.9729907734770467</c:v>
                </c:pt>
                <c:pt idx="23">
                  <c:v>2.9666517338959224</c:v>
                </c:pt>
                <c:pt idx="24">
                  <c:v>2.8992371825734509</c:v>
                </c:pt>
                <c:pt idx="25">
                  <c:v>2.6624765623706801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4-4926-9B62-AB635E1CF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463024"/>
        <c:axId val="449463680"/>
      </c:barChart>
      <c:catAx>
        <c:axId val="449463024"/>
        <c:scaling>
          <c:orientation val="minMax"/>
        </c:scaling>
        <c:delete val="1"/>
        <c:axPos val="b"/>
        <c:majorTickMark val="none"/>
        <c:minorTickMark val="none"/>
        <c:tickLblPos val="nextTo"/>
        <c:crossAx val="449463680"/>
        <c:crosses val="autoZero"/>
        <c:auto val="1"/>
        <c:lblAlgn val="ctr"/>
        <c:lblOffset val="100"/>
        <c:noMultiLvlLbl val="0"/>
      </c:catAx>
      <c:valAx>
        <c:axId val="449463680"/>
        <c:scaling>
          <c:orientation val="minMax"/>
          <c:min val="2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Abweichung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946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'Verd (2)'!$P$1</c:f>
              <c:strCache>
                <c:ptCount val="1"/>
                <c:pt idx="0">
                  <c:v>Base; Abweichung Translation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'Verd (2)'!$P$4:$P$29</c:f>
              <c:numCache>
                <c:formatCode>0.000</c:formatCode>
                <c:ptCount val="26"/>
                <c:pt idx="0">
                  <c:v>0.85139708714558471</c:v>
                </c:pt>
                <c:pt idx="1">
                  <c:v>0.90486297305173746</c:v>
                </c:pt>
                <c:pt idx="2">
                  <c:v>0.88153105447285429</c:v>
                </c:pt>
                <c:pt idx="3">
                  <c:v>0.79162933245307876</c:v>
                </c:pt>
                <c:pt idx="4">
                  <c:v>0.78262187549297857</c:v>
                </c:pt>
                <c:pt idx="5">
                  <c:v>0.8582289904216055</c:v>
                </c:pt>
                <c:pt idx="6">
                  <c:v>0.87034303581980255</c:v>
                </c:pt>
                <c:pt idx="7">
                  <c:v>0.86261057262244256</c:v>
                </c:pt>
                <c:pt idx="9">
                  <c:v>1.0040004980079402</c:v>
                </c:pt>
                <c:pt idx="10">
                  <c:v>1.0869484808398735</c:v>
                </c:pt>
                <c:pt idx="11">
                  <c:v>1.0699331754834966</c:v>
                </c:pt>
                <c:pt idx="12">
                  <c:v>1.0081949216298867</c:v>
                </c:pt>
                <c:pt idx="13">
                  <c:v>0.99555863714817205</c:v>
                </c:pt>
                <c:pt idx="14">
                  <c:v>0.99125022068109903</c:v>
                </c:pt>
                <c:pt idx="15">
                  <c:v>0.9723255627617452</c:v>
                </c:pt>
                <c:pt idx="16">
                  <c:v>1.0103053993719959</c:v>
                </c:pt>
                <c:pt idx="18">
                  <c:v>0.85714467856953169</c:v>
                </c:pt>
                <c:pt idx="19">
                  <c:v>1.019616104227548</c:v>
                </c:pt>
                <c:pt idx="20">
                  <c:v>1.0414206642851056</c:v>
                </c:pt>
                <c:pt idx="21">
                  <c:v>0.89394462915775141</c:v>
                </c:pt>
                <c:pt idx="22">
                  <c:v>0.82276181243424196</c:v>
                </c:pt>
                <c:pt idx="23">
                  <c:v>0.85485495845789239</c:v>
                </c:pt>
                <c:pt idx="24">
                  <c:v>0.74571911602166552</c:v>
                </c:pt>
                <c:pt idx="25">
                  <c:v>0.64553621122294624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F-4881-B474-E3DDF760C712}"/>
            </c:ext>
          </c:extLst>
        </c:ser>
        <c:ser>
          <c:idx val="1"/>
          <c:order val="1"/>
          <c:tx>
            <c:strRef>
              <c:f>'Verd (2)'!$Q$1</c:f>
              <c:strCache>
                <c:ptCount val="1"/>
                <c:pt idx="0">
                  <c:v>Base; Abweichung Rotation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'Verd (2)'!$Q$4:$Q$29</c:f>
              <c:numCache>
                <c:formatCode>0.000</c:formatCode>
                <c:ptCount val="26"/>
                <c:pt idx="0">
                  <c:v>1.2941491670818903</c:v>
                </c:pt>
                <c:pt idx="1">
                  <c:v>1.3009206388416259</c:v>
                </c:pt>
                <c:pt idx="2">
                  <c:v>1.2839314244183704</c:v>
                </c:pt>
                <c:pt idx="3">
                  <c:v>1.2886630249372613</c:v>
                </c:pt>
                <c:pt idx="4">
                  <c:v>1.3005440203329555</c:v>
                </c:pt>
                <c:pt idx="5">
                  <c:v>1.3690051037697246</c:v>
                </c:pt>
                <c:pt idx="6">
                  <c:v>1.3720736101129487</c:v>
                </c:pt>
                <c:pt idx="7">
                  <c:v>1.3579507212828956</c:v>
                </c:pt>
                <c:pt idx="9">
                  <c:v>1.4571219017562127</c:v>
                </c:pt>
                <c:pt idx="10">
                  <c:v>1.5787898692156468</c:v>
                </c:pt>
                <c:pt idx="11">
                  <c:v>1.4902638196300717</c:v>
                </c:pt>
                <c:pt idx="12">
                  <c:v>1.4723137900898751</c:v>
                </c:pt>
                <c:pt idx="13">
                  <c:v>1.4535147171975531</c:v>
                </c:pt>
                <c:pt idx="14">
                  <c:v>1.4535147171975531</c:v>
                </c:pt>
                <c:pt idx="15">
                  <c:v>1.4156754596485754</c:v>
                </c:pt>
                <c:pt idx="16">
                  <c:v>1.4264422418027438</c:v>
                </c:pt>
                <c:pt idx="18">
                  <c:v>1.2528294081209368</c:v>
                </c:pt>
                <c:pt idx="19">
                  <c:v>1.3388454655709321</c:v>
                </c:pt>
                <c:pt idx="20">
                  <c:v>1.4285171799285332</c:v>
                </c:pt>
                <c:pt idx="21">
                  <c:v>1.409480122019332</c:v>
                </c:pt>
                <c:pt idx="22">
                  <c:v>1.4084769809308546</c:v>
                </c:pt>
                <c:pt idx="23">
                  <c:v>1.3810191074705527</c:v>
                </c:pt>
                <c:pt idx="24">
                  <c:v>1.3827288606076369</c:v>
                </c:pt>
                <c:pt idx="25">
                  <c:v>1.3017089200710619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F-4881-B474-E3DDF760C712}"/>
            </c:ext>
          </c:extLst>
        </c:ser>
        <c:ser>
          <c:idx val="2"/>
          <c:order val="2"/>
          <c:tx>
            <c:strRef>
              <c:f>'Verd (2)'!$R$1</c:f>
              <c:strCache>
                <c:ptCount val="1"/>
                <c:pt idx="0">
                  <c:v>Tool; Abweichung Translation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'Verd (2)'!$R$4:$R$29</c:f>
              <c:numCache>
                <c:formatCode>0.000</c:formatCode>
                <c:ptCount val="26"/>
                <c:pt idx="0">
                  <c:v>0.64760790606662744</c:v>
                </c:pt>
                <c:pt idx="1">
                  <c:v>0.65905690194397726</c:v>
                </c:pt>
                <c:pt idx="2">
                  <c:v>0.66336716831631271</c:v>
                </c:pt>
                <c:pt idx="3">
                  <c:v>0.68497883178971797</c:v>
                </c:pt>
                <c:pt idx="4">
                  <c:v>0.65662470255085081</c:v>
                </c:pt>
                <c:pt idx="5">
                  <c:v>0.64041861309613957</c:v>
                </c:pt>
                <c:pt idx="6">
                  <c:v>0.76028678799516058</c:v>
                </c:pt>
                <c:pt idx="7">
                  <c:v>0.83037100142044329</c:v>
                </c:pt>
                <c:pt idx="9">
                  <c:v>0.79540932858498326</c:v>
                </c:pt>
                <c:pt idx="10">
                  <c:v>0.85024467066838316</c:v>
                </c:pt>
                <c:pt idx="11">
                  <c:v>0.76695241051841911</c:v>
                </c:pt>
                <c:pt idx="12">
                  <c:v>0.78306832396668902</c:v>
                </c:pt>
                <c:pt idx="13">
                  <c:v>0.76308321957698988</c:v>
                </c:pt>
                <c:pt idx="14">
                  <c:v>0.77772488709055132</c:v>
                </c:pt>
                <c:pt idx="15">
                  <c:v>0.72700481428941388</c:v>
                </c:pt>
                <c:pt idx="16">
                  <c:v>0.76240146904370265</c:v>
                </c:pt>
                <c:pt idx="18">
                  <c:v>0.95673193737847573</c:v>
                </c:pt>
                <c:pt idx="19">
                  <c:v>0.88804053961516471</c:v>
                </c:pt>
                <c:pt idx="20">
                  <c:v>0.83658591907824242</c:v>
                </c:pt>
                <c:pt idx="21">
                  <c:v>0.77499419352663468</c:v>
                </c:pt>
                <c:pt idx="22">
                  <c:v>0.7417519801119502</c:v>
                </c:pt>
                <c:pt idx="23">
                  <c:v>0.73077766796747767</c:v>
                </c:pt>
                <c:pt idx="24">
                  <c:v>0.77078920594414835</c:v>
                </c:pt>
                <c:pt idx="25">
                  <c:v>0.71523143107667198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F-4881-B474-E3DDF760C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0670632"/>
        <c:axId val="460663088"/>
      </c:barChart>
      <c:catAx>
        <c:axId val="460670632"/>
        <c:scaling>
          <c:orientation val="minMax"/>
        </c:scaling>
        <c:delete val="1"/>
        <c:axPos val="b"/>
        <c:majorTickMark val="none"/>
        <c:minorTickMark val="none"/>
        <c:tickLblPos val="nextTo"/>
        <c:crossAx val="460663088"/>
        <c:crosses val="autoZero"/>
        <c:auto val="1"/>
        <c:lblAlgn val="ctr"/>
        <c:lblOffset val="100"/>
        <c:noMultiLvlLbl val="0"/>
      </c:catAx>
      <c:valAx>
        <c:axId val="4606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067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Abweichungen bei unterschiedlicher</a:t>
            </a:r>
            <a:r>
              <a:rPr lang="de-DE" baseline="0"/>
              <a:t> Punktverteilung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Verteilung!$P$1</c:f>
              <c:strCache>
                <c:ptCount val="1"/>
                <c:pt idx="0">
                  <c:v>Base; Abweichung Translation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5040679304299953"/>
                  <c:y val="0.15215009219780209"/>
                </c:manualLayout>
              </c:layout>
              <c:tx>
                <c:rich>
                  <a:bodyPr/>
                  <a:lstStyle/>
                  <a:p>
                    <a:fld id="{7D5B5B62-00B3-451C-8868-C65707BC3F4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85E-44DC-A7AA-63C9200597E1}"/>
                </c:ext>
              </c:extLst>
            </c:dLbl>
            <c:dLbl>
              <c:idx val="1"/>
              <c:layout>
                <c:manualLayout>
                  <c:x val="-3.0350285186199137E-2"/>
                  <c:y val="-7.4516536894620219E-2"/>
                </c:manualLayout>
              </c:layout>
              <c:tx>
                <c:rich>
                  <a:bodyPr/>
                  <a:lstStyle/>
                  <a:p>
                    <a:fld id="{C981033B-0AA9-4D27-99A4-F8ADD1D6C7C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85E-44DC-A7AA-63C9200597E1}"/>
                </c:ext>
              </c:extLst>
            </c:dLbl>
            <c:dLbl>
              <c:idx val="2"/>
              <c:layout>
                <c:manualLayout>
                  <c:x val="-0.17303753930668983"/>
                  <c:y val="5.6711511527308488E-2"/>
                </c:manualLayout>
              </c:layout>
              <c:tx>
                <c:rich>
                  <a:bodyPr/>
                  <a:lstStyle/>
                  <a:p>
                    <a:fld id="{C4386D27-9BD1-4C99-B870-77EBA5330B4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85E-44DC-A7AA-63C9200597E1}"/>
                </c:ext>
              </c:extLst>
            </c:dLbl>
            <c:dLbl>
              <c:idx val="3"/>
              <c:layout>
                <c:manualLayout>
                  <c:x val="-4.1461656787371036E-2"/>
                  <c:y val="-3.7258385866823729E-2"/>
                </c:manualLayout>
              </c:layout>
              <c:tx>
                <c:rich>
                  <a:bodyPr/>
                  <a:lstStyle/>
                  <a:p>
                    <a:fld id="{C3E2DBB4-1545-4C71-88FB-C859690D5BB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85E-44DC-A7AA-63C9200597E1}"/>
                </c:ext>
              </c:extLst>
            </c:dLbl>
            <c:dLbl>
              <c:idx val="4"/>
              <c:layout>
                <c:manualLayout>
                  <c:x val="-7.013152899430837E-2"/>
                  <c:y val="4.3267916573905253E-2"/>
                </c:manualLayout>
              </c:layout>
              <c:tx>
                <c:rich>
                  <a:bodyPr/>
                  <a:lstStyle/>
                  <a:p>
                    <a:fld id="{A0BCC5AA-112A-47B4-9017-5284CCCCDD4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485E-44DC-A7AA-63C9200597E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85E-44DC-A7AA-63C9200597E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85E-44DC-A7AA-63C9200597E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85E-44DC-A7AA-63C9200597E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85E-44DC-A7AA-63C920059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85E-44DC-A7AA-63C9200597E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85E-44DC-A7AA-63C9200597E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85E-44DC-A7AA-63C9200597E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85E-44DC-A7AA-63C9200597E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85E-44DC-A7AA-63C9200597E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85E-44DC-A7AA-63C9200597E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85E-44DC-A7AA-63C9200597E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85E-44DC-A7AA-63C9200597E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85E-44DC-A7AA-63C9200597E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85E-44DC-A7AA-63C9200597E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85E-44DC-A7AA-63C9200597E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85E-44DC-A7AA-63C9200597E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85E-44DC-A7AA-63C9200597E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85E-44DC-A7AA-63C9200597E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85E-44DC-A7AA-63C9200597E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85E-44DC-A7AA-63C9200597E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85E-44DC-A7AA-63C9200597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yVal>
            <c:numRef>
              <c:f>Verteilung!$P$4:$P$29</c:f>
              <c:numCache>
                <c:formatCode>0.000</c:formatCode>
                <c:ptCount val="26"/>
                <c:pt idx="0">
                  <c:v>1.6856206572062387</c:v>
                </c:pt>
                <c:pt idx="1">
                  <c:v>1.4773953431630873</c:v>
                </c:pt>
                <c:pt idx="2">
                  <c:v>0.86920480900656583</c:v>
                </c:pt>
                <c:pt idx="3">
                  <c:v>0.79087103879205356</c:v>
                </c:pt>
                <c:pt idx="4">
                  <c:v>0.47298731484055656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Verteilung!$A$4:$A$8</c15:f>
                <c15:dlblRangeCache>
                  <c:ptCount val="5"/>
                  <c:pt idx="0">
                    <c:v>außerhalb von Tischbereich hinten1</c:v>
                  </c:pt>
                  <c:pt idx="1">
                    <c:v>außerhalb von Tischbereich hinten2</c:v>
                  </c:pt>
                  <c:pt idx="2">
                    <c:v>außerhalb von Tischbereich vorne</c:v>
                  </c:pt>
                  <c:pt idx="3">
                    <c:v>am Ursprung</c:v>
                  </c:pt>
                  <c:pt idx="4">
                    <c:v>Gute Verteilung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85E-44DC-A7AA-63C9200597E1}"/>
            </c:ext>
          </c:extLst>
        </c:ser>
        <c:ser>
          <c:idx val="1"/>
          <c:order val="1"/>
          <c:tx>
            <c:strRef>
              <c:f>Verteilung!$Q$1</c:f>
              <c:strCache>
                <c:ptCount val="1"/>
                <c:pt idx="0">
                  <c:v>Base; Abweichung Rotation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Verteilung!$Q$4:$Q$29</c:f>
              <c:numCache>
                <c:formatCode>0.000</c:formatCode>
                <c:ptCount val="26"/>
                <c:pt idx="0">
                  <c:v>1.5164067625968922</c:v>
                </c:pt>
                <c:pt idx="1">
                  <c:v>1.4854232575837369</c:v>
                </c:pt>
                <c:pt idx="2">
                  <c:v>1.3158793840678626</c:v>
                </c:pt>
                <c:pt idx="3">
                  <c:v>1.3945039085739013</c:v>
                </c:pt>
                <c:pt idx="4">
                  <c:v>1.3063571790617654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5E-44DC-A7AA-63C9200597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43223408"/>
        <c:axId val="443224720"/>
      </c:scatterChart>
      <c:valAx>
        <c:axId val="443223408"/>
        <c:scaling>
          <c:orientation val="minMax"/>
          <c:max val="6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crossAx val="443224720"/>
        <c:crosses val="autoZero"/>
        <c:crossBetween val="midCat"/>
        <c:majorUnit val="1"/>
      </c:valAx>
      <c:valAx>
        <c:axId val="4432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322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Punktverteilungen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Verteilung!$A$6</c:f>
              <c:strCache>
                <c:ptCount val="1"/>
                <c:pt idx="0">
                  <c:v>außerhalb von Tischbereich vorne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Verteilung!$B$44:$B$53</c:f>
              <c:numCache>
                <c:formatCode>General</c:formatCode>
                <c:ptCount val="10"/>
                <c:pt idx="0">
                  <c:v>1046.75</c:v>
                </c:pt>
                <c:pt idx="1">
                  <c:v>956.92</c:v>
                </c:pt>
                <c:pt idx="2">
                  <c:v>842.54</c:v>
                </c:pt>
                <c:pt idx="3">
                  <c:v>1571.29</c:v>
                </c:pt>
                <c:pt idx="4">
                  <c:v>1131.05</c:v>
                </c:pt>
                <c:pt idx="5">
                  <c:v>1149.5899999999999</c:v>
                </c:pt>
                <c:pt idx="6">
                  <c:v>1360.22</c:v>
                </c:pt>
                <c:pt idx="7">
                  <c:v>799.36</c:v>
                </c:pt>
                <c:pt idx="8">
                  <c:v>444.47</c:v>
                </c:pt>
                <c:pt idx="9">
                  <c:v>1088.03</c:v>
                </c:pt>
              </c:numCache>
            </c:numRef>
          </c:xVal>
          <c:yVal>
            <c:numRef>
              <c:f>Verteilung!$C$44:$C$53</c:f>
              <c:numCache>
                <c:formatCode>General</c:formatCode>
                <c:ptCount val="10"/>
                <c:pt idx="0">
                  <c:v>-767.18</c:v>
                </c:pt>
                <c:pt idx="1">
                  <c:v>-716.79</c:v>
                </c:pt>
                <c:pt idx="2">
                  <c:v>-1125.1199999999999</c:v>
                </c:pt>
                <c:pt idx="3">
                  <c:v>-1176.31</c:v>
                </c:pt>
                <c:pt idx="4">
                  <c:v>-1375.18</c:v>
                </c:pt>
                <c:pt idx="5">
                  <c:v>-1122.22</c:v>
                </c:pt>
                <c:pt idx="6">
                  <c:v>-487.42</c:v>
                </c:pt>
                <c:pt idx="7">
                  <c:v>-605.75</c:v>
                </c:pt>
                <c:pt idx="8">
                  <c:v>-730.9</c:v>
                </c:pt>
                <c:pt idx="9">
                  <c:v>-949.78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68-4C3A-A6DC-BBE69FE453C4}"/>
            </c:ext>
          </c:extLst>
        </c:ser>
        <c:ser>
          <c:idx val="1"/>
          <c:order val="1"/>
          <c:tx>
            <c:strRef>
              <c:f>Verteilung!$A$4</c:f>
              <c:strCache>
                <c:ptCount val="1"/>
                <c:pt idx="0">
                  <c:v>außerhalb von Tischbereich hinten1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Verteilung!$B$34:$B$43</c:f>
              <c:numCache>
                <c:formatCode>General</c:formatCode>
                <c:ptCount val="10"/>
                <c:pt idx="0">
                  <c:v>1987.67</c:v>
                </c:pt>
                <c:pt idx="1">
                  <c:v>2271</c:v>
                </c:pt>
                <c:pt idx="2">
                  <c:v>2489.0500000000002</c:v>
                </c:pt>
                <c:pt idx="3">
                  <c:v>2021.15</c:v>
                </c:pt>
                <c:pt idx="4">
                  <c:v>2889.2</c:v>
                </c:pt>
                <c:pt idx="5">
                  <c:v>2832.49</c:v>
                </c:pt>
                <c:pt idx="6">
                  <c:v>3122.69</c:v>
                </c:pt>
                <c:pt idx="7">
                  <c:v>2915.91</c:v>
                </c:pt>
                <c:pt idx="8">
                  <c:v>2075.34</c:v>
                </c:pt>
                <c:pt idx="9">
                  <c:v>2561.6799999999998</c:v>
                </c:pt>
              </c:numCache>
            </c:numRef>
          </c:xVal>
          <c:yVal>
            <c:numRef>
              <c:f>Verteilung!$C$34:$C$43</c:f>
              <c:numCache>
                <c:formatCode>General</c:formatCode>
                <c:ptCount val="10"/>
                <c:pt idx="0">
                  <c:v>1771.61</c:v>
                </c:pt>
                <c:pt idx="1">
                  <c:v>1961.47</c:v>
                </c:pt>
                <c:pt idx="2">
                  <c:v>1996.35</c:v>
                </c:pt>
                <c:pt idx="3">
                  <c:v>1781.14</c:v>
                </c:pt>
                <c:pt idx="4">
                  <c:v>1858.89</c:v>
                </c:pt>
                <c:pt idx="5">
                  <c:v>1561.6</c:v>
                </c:pt>
                <c:pt idx="6">
                  <c:v>925.01</c:v>
                </c:pt>
                <c:pt idx="7">
                  <c:v>1104.3599999999999</c:v>
                </c:pt>
                <c:pt idx="8">
                  <c:v>1524.86</c:v>
                </c:pt>
                <c:pt idx="9">
                  <c:v>2188.85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68-4C3A-A6DC-BBE69FE453C4}"/>
            </c:ext>
          </c:extLst>
        </c:ser>
        <c:ser>
          <c:idx val="2"/>
          <c:order val="2"/>
          <c:tx>
            <c:strRef>
              <c:f>Verteilung!$A$7</c:f>
              <c:strCache>
                <c:ptCount val="1"/>
                <c:pt idx="0">
                  <c:v>am Ursprung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Verteilung!$B$64:$B$73</c:f>
              <c:numCache>
                <c:formatCode>General</c:formatCode>
                <c:ptCount val="10"/>
                <c:pt idx="0">
                  <c:v>298.89999999999998</c:v>
                </c:pt>
                <c:pt idx="1">
                  <c:v>72.44</c:v>
                </c:pt>
                <c:pt idx="2">
                  <c:v>234.6</c:v>
                </c:pt>
                <c:pt idx="3">
                  <c:v>218.78</c:v>
                </c:pt>
                <c:pt idx="4">
                  <c:v>122.55</c:v>
                </c:pt>
                <c:pt idx="5">
                  <c:v>314.73</c:v>
                </c:pt>
                <c:pt idx="6">
                  <c:v>133.59</c:v>
                </c:pt>
                <c:pt idx="7">
                  <c:v>420.83</c:v>
                </c:pt>
                <c:pt idx="8">
                  <c:v>574.17999999999995</c:v>
                </c:pt>
                <c:pt idx="9">
                  <c:v>521.52</c:v>
                </c:pt>
              </c:numCache>
            </c:numRef>
          </c:xVal>
          <c:yVal>
            <c:numRef>
              <c:f>Verteilung!$C$64:$C$73</c:f>
              <c:numCache>
                <c:formatCode>General</c:formatCode>
                <c:ptCount val="10"/>
                <c:pt idx="0">
                  <c:v>100.91</c:v>
                </c:pt>
                <c:pt idx="1">
                  <c:v>34.96</c:v>
                </c:pt>
                <c:pt idx="2">
                  <c:v>-113.9</c:v>
                </c:pt>
                <c:pt idx="3">
                  <c:v>-336.45</c:v>
                </c:pt>
                <c:pt idx="4">
                  <c:v>168.79</c:v>
                </c:pt>
                <c:pt idx="5">
                  <c:v>149.63999999999999</c:v>
                </c:pt>
                <c:pt idx="6">
                  <c:v>311.33</c:v>
                </c:pt>
                <c:pt idx="7">
                  <c:v>310.12</c:v>
                </c:pt>
                <c:pt idx="8">
                  <c:v>-107.45</c:v>
                </c:pt>
                <c:pt idx="9">
                  <c:v>-470.48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68-4C3A-A6DC-BBE69FE453C4}"/>
            </c:ext>
          </c:extLst>
        </c:ser>
        <c:ser>
          <c:idx val="3"/>
          <c:order val="3"/>
          <c:tx>
            <c:strRef>
              <c:f>Verteilung!$A$5</c:f>
              <c:strCache>
                <c:ptCount val="1"/>
                <c:pt idx="0">
                  <c:v>außerhalb von Tischbereich hinten2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Verteilung!$B$54:$B$63</c:f>
              <c:numCache>
                <c:formatCode>General</c:formatCode>
                <c:ptCount val="10"/>
                <c:pt idx="0">
                  <c:v>2223.66</c:v>
                </c:pt>
                <c:pt idx="1">
                  <c:v>1921.96</c:v>
                </c:pt>
                <c:pt idx="2">
                  <c:v>2976.42</c:v>
                </c:pt>
                <c:pt idx="3">
                  <c:v>3082.78</c:v>
                </c:pt>
                <c:pt idx="4">
                  <c:v>2940.68</c:v>
                </c:pt>
                <c:pt idx="5">
                  <c:v>3127.39</c:v>
                </c:pt>
                <c:pt idx="6">
                  <c:v>2979.59</c:v>
                </c:pt>
                <c:pt idx="7">
                  <c:v>2885.56</c:v>
                </c:pt>
                <c:pt idx="8">
                  <c:v>2953.11</c:v>
                </c:pt>
                <c:pt idx="9">
                  <c:v>2160.54</c:v>
                </c:pt>
              </c:numCache>
            </c:numRef>
          </c:xVal>
          <c:yVal>
            <c:numRef>
              <c:f>Verteilung!$C$54:$C$63</c:f>
              <c:numCache>
                <c:formatCode>General</c:formatCode>
                <c:ptCount val="10"/>
                <c:pt idx="0">
                  <c:v>1604.58</c:v>
                </c:pt>
                <c:pt idx="1">
                  <c:v>1682.89</c:v>
                </c:pt>
                <c:pt idx="2">
                  <c:v>1606.73</c:v>
                </c:pt>
                <c:pt idx="3">
                  <c:v>852.67</c:v>
                </c:pt>
                <c:pt idx="4">
                  <c:v>851.17</c:v>
                </c:pt>
                <c:pt idx="5">
                  <c:v>285.88</c:v>
                </c:pt>
                <c:pt idx="6">
                  <c:v>1234.1400000000001</c:v>
                </c:pt>
                <c:pt idx="7">
                  <c:v>1766.76</c:v>
                </c:pt>
                <c:pt idx="8">
                  <c:v>2068.5500000000002</c:v>
                </c:pt>
                <c:pt idx="9">
                  <c:v>2139.6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68-4C3A-A6DC-BBE69FE453C4}"/>
            </c:ext>
          </c:extLst>
        </c:ser>
        <c:ser>
          <c:idx val="4"/>
          <c:order val="4"/>
          <c:tx>
            <c:v>Roboterstandpunkt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0"/>
            <c:marker>
              <c:symbol val="circle"/>
              <c:size val="20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268-4C3A-A6DC-BBE69FE453C4}"/>
              </c:ext>
            </c:extLst>
          </c:dPt>
          <c:xVal>
            <c:numRef>
              <c:f>Verteilung!$I$33</c:f>
              <c:numCache>
                <c:formatCode>General</c:formatCode>
                <c:ptCount val="1"/>
                <c:pt idx="0">
                  <c:v>1899.94</c:v>
                </c:pt>
              </c:numCache>
            </c:numRef>
          </c:xVal>
          <c:yVal>
            <c:numRef>
              <c:f>Verteilung!$J$33</c:f>
              <c:numCache>
                <c:formatCode>General</c:formatCode>
                <c:ptCount val="1"/>
                <c:pt idx="0">
                  <c:v>498.31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68-4C3A-A6DC-BBE69FE453C4}"/>
            </c:ext>
          </c:extLst>
        </c:ser>
        <c:ser>
          <c:idx val="6"/>
          <c:order val="5"/>
          <c:tx>
            <c:strRef>
              <c:f>Verteilung!$A$8</c:f>
              <c:strCache>
                <c:ptCount val="1"/>
                <c:pt idx="0">
                  <c:v>Gute Verteilung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xVal>
            <c:numRef>
              <c:f>Verteilung!$B$74:$B$83</c:f>
              <c:numCache>
                <c:formatCode>General</c:formatCode>
                <c:ptCount val="10"/>
                <c:pt idx="0">
                  <c:v>581.08000000000004</c:v>
                </c:pt>
                <c:pt idx="1">
                  <c:v>442.98</c:v>
                </c:pt>
                <c:pt idx="2">
                  <c:v>502.1</c:v>
                </c:pt>
                <c:pt idx="3">
                  <c:v>663.79</c:v>
                </c:pt>
                <c:pt idx="4">
                  <c:v>644.25</c:v>
                </c:pt>
                <c:pt idx="5">
                  <c:v>808.16</c:v>
                </c:pt>
                <c:pt idx="6">
                  <c:v>371.72</c:v>
                </c:pt>
                <c:pt idx="7">
                  <c:v>475.85</c:v>
                </c:pt>
                <c:pt idx="8">
                  <c:v>218.13</c:v>
                </c:pt>
                <c:pt idx="9">
                  <c:v>122.17</c:v>
                </c:pt>
              </c:numCache>
            </c:numRef>
          </c:xVal>
          <c:yVal>
            <c:numRef>
              <c:f>Verteilung!$C$74:$C$83</c:f>
              <c:numCache>
                <c:formatCode>General</c:formatCode>
                <c:ptCount val="10"/>
                <c:pt idx="0">
                  <c:v>-129.1</c:v>
                </c:pt>
                <c:pt idx="1">
                  <c:v>604.36</c:v>
                </c:pt>
                <c:pt idx="2">
                  <c:v>947.05</c:v>
                </c:pt>
                <c:pt idx="3">
                  <c:v>891.22</c:v>
                </c:pt>
                <c:pt idx="4">
                  <c:v>169.27</c:v>
                </c:pt>
                <c:pt idx="5">
                  <c:v>207.81</c:v>
                </c:pt>
                <c:pt idx="6">
                  <c:v>501.21</c:v>
                </c:pt>
                <c:pt idx="7">
                  <c:v>1000.3</c:v>
                </c:pt>
                <c:pt idx="8">
                  <c:v>1098.19</c:v>
                </c:pt>
                <c:pt idx="9">
                  <c:v>332.24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C0-4CA5-A3FE-C531A9653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434880"/>
        <c:axId val="504439472"/>
      </c:scatterChart>
      <c:valAx>
        <c:axId val="50443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439472"/>
        <c:crosses val="autoZero"/>
        <c:crossBetween val="midCat"/>
      </c:valAx>
      <c:valAx>
        <c:axId val="5044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43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Gewichte!$A$2</c:f>
              <c:strCache>
                <c:ptCount val="1"/>
                <c:pt idx="0">
                  <c:v>Punktnummer</c:v>
                </c:pt>
              </c:strCache>
            </c:strRef>
          </c:tx>
          <c:spPr>
            <a:ln w="28575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8E0757EC-E25C-4E1E-B59F-1970D77D190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172-4CCA-9887-DAEF290F73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F9111FC-81D9-4409-981C-96B667A7A79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172-4CCA-9887-DAEF290F73D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BAFAAE5-67D7-4840-BC7C-9BCC44E0B17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172-4CCA-9887-DAEF290F73D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215555E-8398-4DE8-BF91-EC8B39CEB87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172-4CCA-9887-DAEF290F73D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9FD466E-768E-4C12-A606-CB7778C8200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72-4CCA-9887-DAEF290F73D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Gewichte!$B$8:$B$12</c:f>
              <c:numCache>
                <c:formatCode>General</c:formatCode>
                <c:ptCount val="5"/>
                <c:pt idx="0">
                  <c:v>522.17999999999995</c:v>
                </c:pt>
                <c:pt idx="1">
                  <c:v>21.44</c:v>
                </c:pt>
                <c:pt idx="2">
                  <c:v>22.75</c:v>
                </c:pt>
                <c:pt idx="3">
                  <c:v>1022.88</c:v>
                </c:pt>
                <c:pt idx="4">
                  <c:v>1021.58</c:v>
                </c:pt>
              </c:numCache>
            </c:numRef>
          </c:xVal>
          <c:yVal>
            <c:numRef>
              <c:f>Gewichte!$C$8:$C$12</c:f>
              <c:numCache>
                <c:formatCode>General</c:formatCode>
                <c:ptCount val="5"/>
                <c:pt idx="0">
                  <c:v>391.97</c:v>
                </c:pt>
                <c:pt idx="1">
                  <c:v>-107.46</c:v>
                </c:pt>
                <c:pt idx="2">
                  <c:v>892.73</c:v>
                </c:pt>
                <c:pt idx="3">
                  <c:v>891.36</c:v>
                </c:pt>
                <c:pt idx="4">
                  <c:v>-108.74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Gewichte!$A$8:$A$12</c15:f>
                <c15:dlblRangeCache>
                  <c:ptCount val="5"/>
                  <c:pt idx="0">
                    <c:v>02gewicht-01</c:v>
                  </c:pt>
                  <c:pt idx="1">
                    <c:v>02gewicht-02</c:v>
                  </c:pt>
                  <c:pt idx="2">
                    <c:v>02gewicht-03</c:v>
                  </c:pt>
                  <c:pt idx="3">
                    <c:v>02gewicht-04</c:v>
                  </c:pt>
                  <c:pt idx="4">
                    <c:v>02gewicht-05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25E-4620-893B-3284938BE5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1669504"/>
        <c:axId val="121671040"/>
      </c:scatterChart>
      <c:valAx>
        <c:axId val="12166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671040"/>
        <c:crosses val="autoZero"/>
        <c:crossBetween val="midCat"/>
      </c:valAx>
      <c:valAx>
        <c:axId val="12167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669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Abweichungen zur Soll-Messung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ohne Kompensation</c:v>
          </c:tx>
          <c:invertIfNegative val="0"/>
          <c:val>
            <c:numRef>
              <c:f>Gewichte!$H$8:$H$12</c:f>
              <c:numCache>
                <c:formatCode>General</c:formatCode>
                <c:ptCount val="5"/>
                <c:pt idx="0">
                  <c:v>0.72000000000002728</c:v>
                </c:pt>
                <c:pt idx="1">
                  <c:v>1.3400000000000318</c:v>
                </c:pt>
                <c:pt idx="2">
                  <c:v>1.2100000000000364</c:v>
                </c:pt>
                <c:pt idx="3">
                  <c:v>0.40999999999996817</c:v>
                </c:pt>
                <c:pt idx="4">
                  <c:v>0.46000000000003638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A-4FF4-B0A3-C75758FB43DB}"/>
            </c:ext>
          </c:extLst>
        </c:ser>
        <c:ser>
          <c:idx val="1"/>
          <c:order val="1"/>
          <c:tx>
            <c:v>mit Kompensation</c:v>
          </c:tx>
          <c:invertIfNegative val="0"/>
          <c:val>
            <c:numRef>
              <c:f>Gewichte!$H$13:$H$17</c:f>
              <c:numCache>
                <c:formatCode>General</c:formatCode>
                <c:ptCount val="5"/>
                <c:pt idx="0">
                  <c:v>-0.14999999999997726</c:v>
                </c:pt>
                <c:pt idx="1">
                  <c:v>-0.38999999999998636</c:v>
                </c:pt>
                <c:pt idx="2">
                  <c:v>-0.40999999999996817</c:v>
                </c:pt>
                <c:pt idx="3">
                  <c:v>-3.999999999996362E-2</c:v>
                </c:pt>
                <c:pt idx="4">
                  <c:v>-0.15999999999996817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5A-4FF4-B0A3-C75758FB4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765888"/>
        <c:axId val="121767424"/>
      </c:barChart>
      <c:catAx>
        <c:axId val="121765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1767424"/>
        <c:crosses val="autoZero"/>
        <c:auto val="1"/>
        <c:lblAlgn val="ctr"/>
        <c:lblOffset val="100"/>
        <c:noMultiLvlLbl val="0"/>
      </c:catAx>
      <c:valAx>
        <c:axId val="12176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765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Unkompensierte Lasterhöhung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Gewichte!$P$47</c:f>
              <c:strCache>
                <c:ptCount val="1"/>
                <c:pt idx="0">
                  <c:v>unkomp. Base Abweichung Translation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Gewichte!$O$48:$O$52</c:f>
              <c:numCache>
                <c:formatCode>General</c:formatCode>
                <c:ptCount val="5"/>
                <c:pt idx="0">
                  <c:v>35</c:v>
                </c:pt>
                <c:pt idx="1">
                  <c:v>42</c:v>
                </c:pt>
                <c:pt idx="2">
                  <c:v>47</c:v>
                </c:pt>
                <c:pt idx="3">
                  <c:v>52</c:v>
                </c:pt>
                <c:pt idx="4">
                  <c:v>57</c:v>
                </c:pt>
              </c:numCache>
            </c:numRef>
          </c:xVal>
          <c:yVal>
            <c:numRef>
              <c:f>Gewichte!$P$48:$P$52</c:f>
              <c:numCache>
                <c:formatCode>0.000</c:formatCode>
                <c:ptCount val="5"/>
                <c:pt idx="0">
                  <c:v>1.1432047060785495</c:v>
                </c:pt>
                <c:pt idx="1">
                  <c:v>1.6175298613797955</c:v>
                </c:pt>
                <c:pt idx="2">
                  <c:v>1.7407966018195866</c:v>
                </c:pt>
                <c:pt idx="3">
                  <c:v>2.0741460432535215</c:v>
                </c:pt>
                <c:pt idx="4">
                  <c:v>2.3343772188745278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31-47A2-A5A3-BB161D0FF6F8}"/>
            </c:ext>
          </c:extLst>
        </c:ser>
        <c:ser>
          <c:idx val="1"/>
          <c:order val="1"/>
          <c:tx>
            <c:strRef>
              <c:f>Gewichte!$Q$47</c:f>
              <c:strCache>
                <c:ptCount val="1"/>
                <c:pt idx="0">
                  <c:v>unkomp. Base Abweichung Rotation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Gewichte!$O$48:$O$52</c:f>
              <c:numCache>
                <c:formatCode>General</c:formatCode>
                <c:ptCount val="5"/>
                <c:pt idx="0">
                  <c:v>35</c:v>
                </c:pt>
                <c:pt idx="1">
                  <c:v>42</c:v>
                </c:pt>
                <c:pt idx="2">
                  <c:v>47</c:v>
                </c:pt>
                <c:pt idx="3">
                  <c:v>52</c:v>
                </c:pt>
                <c:pt idx="4">
                  <c:v>57</c:v>
                </c:pt>
              </c:numCache>
            </c:numRef>
          </c:xVal>
          <c:yVal>
            <c:numRef>
              <c:f>Gewichte!$Q$48:$Q$52</c:f>
              <c:numCache>
                <c:formatCode>0.000</c:formatCode>
                <c:ptCount val="5"/>
                <c:pt idx="0">
                  <c:v>1.5604844291998821</c:v>
                </c:pt>
                <c:pt idx="1">
                  <c:v>1.9034493927980973</c:v>
                </c:pt>
                <c:pt idx="2">
                  <c:v>1.9415741449234911</c:v>
                </c:pt>
                <c:pt idx="3">
                  <c:v>2.0382468035231374</c:v>
                </c:pt>
                <c:pt idx="4">
                  <c:v>2.113002016519232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31-47A2-A5A3-BB161D0FF6F8}"/>
            </c:ext>
          </c:extLst>
        </c:ser>
        <c:ser>
          <c:idx val="2"/>
          <c:order val="2"/>
          <c:tx>
            <c:strRef>
              <c:f>Gewichte!$P$76</c:f>
              <c:strCache>
                <c:ptCount val="1"/>
                <c:pt idx="0">
                  <c:v>unkomp. Base Abweichung Translation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Gewichte!$O$50:$O$52</c:f>
              <c:numCache>
                <c:formatCode>General</c:formatCode>
                <c:ptCount val="3"/>
                <c:pt idx="0">
                  <c:v>47</c:v>
                </c:pt>
                <c:pt idx="1">
                  <c:v>52</c:v>
                </c:pt>
                <c:pt idx="2">
                  <c:v>57</c:v>
                </c:pt>
              </c:numCache>
            </c:numRef>
          </c:xVal>
          <c:yVal>
            <c:numRef>
              <c:f>Gewichte!$P$77:$P$79</c:f>
              <c:numCache>
                <c:formatCode>0.000</c:formatCode>
                <c:ptCount val="3"/>
                <c:pt idx="0">
                  <c:v>1.453656424331492</c:v>
                </c:pt>
                <c:pt idx="1">
                  <c:v>1.7156447767531184</c:v>
                </c:pt>
                <c:pt idx="2">
                  <c:v>1.9102452722098668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C31-47A2-A5A3-BB161D0FF6F8}"/>
            </c:ext>
          </c:extLst>
        </c:ser>
        <c:ser>
          <c:idx val="3"/>
          <c:order val="3"/>
          <c:tx>
            <c:strRef>
              <c:f>Gewichte!$Q$76</c:f>
              <c:strCache>
                <c:ptCount val="1"/>
                <c:pt idx="0">
                  <c:v>unkomp. Base Abweichung Rotation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Gewichte!$O$50:$O$52</c:f>
              <c:numCache>
                <c:formatCode>General</c:formatCode>
                <c:ptCount val="3"/>
                <c:pt idx="0">
                  <c:v>47</c:v>
                </c:pt>
                <c:pt idx="1">
                  <c:v>52</c:v>
                </c:pt>
                <c:pt idx="2">
                  <c:v>57</c:v>
                </c:pt>
              </c:numCache>
            </c:numRef>
          </c:xVal>
          <c:yVal>
            <c:numRef>
              <c:f>Gewichte!$Q$77:$Q$79</c:f>
              <c:numCache>
                <c:formatCode>0.000</c:formatCode>
                <c:ptCount val="3"/>
                <c:pt idx="0">
                  <c:v>1.9501662713821999</c:v>
                </c:pt>
                <c:pt idx="1">
                  <c:v>1.9632432891929463</c:v>
                </c:pt>
                <c:pt idx="2">
                  <c:v>1.7649412836518945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C31-47A2-A5A3-BB161D0FF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60736"/>
        <c:axId val="472650568"/>
      </c:scatterChart>
      <c:valAx>
        <c:axId val="472660736"/>
        <c:scaling>
          <c:orientation val="minMax"/>
          <c:max val="57"/>
          <c:min val="4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Zusatzlast</a:t>
                </a:r>
                <a:r>
                  <a:rPr lang="de-DE" baseline="0"/>
                  <a:t> am Roboter in kg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650568"/>
        <c:crosses val="autoZero"/>
        <c:crossBetween val="midCat"/>
        <c:majorUnit val="5"/>
      </c:valAx>
      <c:valAx>
        <c:axId val="472650568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66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Kompensierte Lasterhöhung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Gewichte!$P$53</c:f>
              <c:strCache>
                <c:ptCount val="1"/>
                <c:pt idx="0">
                  <c:v>komp. Base Abweichung Translation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Gewichte!$O$56:$O$58</c:f>
              <c:numCache>
                <c:formatCode>General</c:formatCode>
                <c:ptCount val="3"/>
                <c:pt idx="0">
                  <c:v>47</c:v>
                </c:pt>
                <c:pt idx="1">
                  <c:v>52</c:v>
                </c:pt>
                <c:pt idx="2">
                  <c:v>57</c:v>
                </c:pt>
              </c:numCache>
            </c:numRef>
          </c:xVal>
          <c:yVal>
            <c:numRef>
              <c:f>Gewichte!$P$56:$P$58</c:f>
              <c:numCache>
                <c:formatCode>0.000</c:formatCode>
                <c:ptCount val="3"/>
                <c:pt idx="0">
                  <c:v>0.56119248034892633</c:v>
                </c:pt>
                <c:pt idx="1">
                  <c:v>0.79085839440456263</c:v>
                </c:pt>
                <c:pt idx="2">
                  <c:v>0.97452398636464488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5F-4290-9AB5-1437BC865377}"/>
            </c:ext>
          </c:extLst>
        </c:ser>
        <c:ser>
          <c:idx val="1"/>
          <c:order val="1"/>
          <c:tx>
            <c:strRef>
              <c:f>Gewichte!$Q$53</c:f>
              <c:strCache>
                <c:ptCount val="1"/>
                <c:pt idx="0">
                  <c:v>komp. Base Abweichung Rotation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Gewichte!$O$56:$O$58</c:f>
              <c:numCache>
                <c:formatCode>General</c:formatCode>
                <c:ptCount val="3"/>
                <c:pt idx="0">
                  <c:v>47</c:v>
                </c:pt>
                <c:pt idx="1">
                  <c:v>52</c:v>
                </c:pt>
                <c:pt idx="2">
                  <c:v>57</c:v>
                </c:pt>
              </c:numCache>
            </c:numRef>
          </c:xVal>
          <c:yVal>
            <c:numRef>
              <c:f>Gewichte!$Q$56:$Q$58</c:f>
              <c:numCache>
                <c:formatCode>0.000</c:formatCode>
                <c:ptCount val="3"/>
                <c:pt idx="0">
                  <c:v>1.4329780273200032</c:v>
                </c:pt>
                <c:pt idx="1">
                  <c:v>1.5448875311910706</c:v>
                </c:pt>
                <c:pt idx="2">
                  <c:v>1.6704177816481693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5F-4290-9AB5-1437BC865377}"/>
            </c:ext>
          </c:extLst>
        </c:ser>
        <c:ser>
          <c:idx val="2"/>
          <c:order val="2"/>
          <c:tx>
            <c:strRef>
              <c:f>Gewichte!$P$80</c:f>
              <c:strCache>
                <c:ptCount val="1"/>
                <c:pt idx="0">
                  <c:v>komp. Base Abweichung Translation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Gewichte!$O$81:$O$83</c:f>
              <c:numCache>
                <c:formatCode>General</c:formatCode>
                <c:ptCount val="3"/>
                <c:pt idx="0">
                  <c:v>47</c:v>
                </c:pt>
                <c:pt idx="1">
                  <c:v>52</c:v>
                </c:pt>
                <c:pt idx="2">
                  <c:v>57</c:v>
                </c:pt>
              </c:numCache>
            </c:numRef>
          </c:xVal>
          <c:yVal>
            <c:numRef>
              <c:f>Gewichte!$P$81:$P$83</c:f>
              <c:numCache>
                <c:formatCode>0.000</c:formatCode>
                <c:ptCount val="3"/>
                <c:pt idx="0">
                  <c:v>0.71841283396120281</c:v>
                </c:pt>
                <c:pt idx="1">
                  <c:v>0.73818493617790959</c:v>
                </c:pt>
                <c:pt idx="2">
                  <c:v>0.89945372310088134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5F-4290-9AB5-1437BC865377}"/>
            </c:ext>
          </c:extLst>
        </c:ser>
        <c:ser>
          <c:idx val="3"/>
          <c:order val="3"/>
          <c:tx>
            <c:strRef>
              <c:f>Gewichte!$Q$80</c:f>
              <c:strCache>
                <c:ptCount val="1"/>
                <c:pt idx="0">
                  <c:v>komp. Base Abweichung Rotation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Gewichte!$O$81:$O$83</c:f>
              <c:numCache>
                <c:formatCode>General</c:formatCode>
                <c:ptCount val="3"/>
                <c:pt idx="0">
                  <c:v>47</c:v>
                </c:pt>
                <c:pt idx="1">
                  <c:v>52</c:v>
                </c:pt>
                <c:pt idx="2">
                  <c:v>57</c:v>
                </c:pt>
              </c:numCache>
            </c:numRef>
          </c:xVal>
          <c:yVal>
            <c:numRef>
              <c:f>Gewichte!$Q$81:$Q$83</c:f>
              <c:numCache>
                <c:formatCode>0.000</c:formatCode>
                <c:ptCount val="3"/>
                <c:pt idx="0">
                  <c:v>1.5537351935930992</c:v>
                </c:pt>
                <c:pt idx="1">
                  <c:v>1.5132115333081522</c:v>
                </c:pt>
                <c:pt idx="2">
                  <c:v>1.5730248888457363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B5F-4290-9AB5-1437BC865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60736"/>
        <c:axId val="472650568"/>
      </c:scatterChart>
      <c:valAx>
        <c:axId val="472660736"/>
        <c:scaling>
          <c:orientation val="minMax"/>
          <c:max val="57"/>
          <c:min val="4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Zusatzlast</a:t>
                </a:r>
                <a:r>
                  <a:rPr lang="de-DE" baseline="0"/>
                  <a:t> am Roboter in kg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650568"/>
        <c:crosses val="autoZero"/>
        <c:crossBetween val="midCat"/>
        <c:majorUnit val="5"/>
      </c:valAx>
      <c:valAx>
        <c:axId val="472650568"/>
        <c:scaling>
          <c:orientation val="minMax"/>
          <c:max val="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66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Prognostizierte</a:t>
            </a:r>
            <a:r>
              <a:rPr lang="de-DE" baseline="0"/>
              <a:t> Abweichung (unkompensiert) mittels linearer Regressionsgerade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Gewicht unten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E04-4708-BC62-D162545CFD1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E04-4708-BC62-D162545CFD1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04-4708-BC62-D162545CFD18}"/>
                </c:ext>
              </c:extLst>
            </c:dLbl>
            <c:dLbl>
              <c:idx val="6"/>
              <c:layout>
                <c:manualLayout>
                  <c:x val="-9.8814403923549357E-2"/>
                  <c:y val="-1.67539380784080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6-4BBC-8FC7-1E335D75FB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Gewichte!$T$48:$T$54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</c:numCache>
            </c:numRef>
          </c:xVal>
          <c:yVal>
            <c:numRef>
              <c:f>Gewichte!$U$48:$U$54</c:f>
              <c:numCache>
                <c:formatCode>0.000</c:formatCode>
                <c:ptCount val="7"/>
                <c:pt idx="0">
                  <c:v>0</c:v>
                </c:pt>
                <c:pt idx="1">
                  <c:v>0.59358061705494103</c:v>
                </c:pt>
                <c:pt idx="2">
                  <c:v>1.4839515426373526</c:v>
                </c:pt>
                <c:pt idx="3">
                  <c:v>2.9679030852747053</c:v>
                </c:pt>
                <c:pt idx="4">
                  <c:v>5.9358061705494105</c:v>
                </c:pt>
                <c:pt idx="5">
                  <c:v>8.9037092558241149</c:v>
                </c:pt>
                <c:pt idx="6">
                  <c:v>11.871612341098821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04-4708-BC62-D162545CFD18}"/>
            </c:ext>
          </c:extLst>
        </c:ser>
        <c:ser>
          <c:idx val="1"/>
          <c:order val="1"/>
          <c:tx>
            <c:v>Gewicht seitlich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4-4708-BC62-D162545CFD1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4-4708-BC62-D162545CFD1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04-4708-BC62-D162545CFD18}"/>
                </c:ext>
              </c:extLst>
            </c:dLbl>
            <c:dLbl>
              <c:idx val="3"/>
              <c:layout>
                <c:manualLayout>
                  <c:x val="-6.0411830728235739E-3"/>
                  <c:y val="2.7997620297709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4-4708-BC62-D162545CFD18}"/>
                </c:ext>
              </c:extLst>
            </c:dLbl>
            <c:dLbl>
              <c:idx val="4"/>
              <c:layout>
                <c:manualLayout>
                  <c:x val="-4.1973541684961731E-3"/>
                  <c:y val="1.68097307036801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5C6-4BBC-8FC7-1E335D75FB69}"/>
                </c:ext>
              </c:extLst>
            </c:dLbl>
            <c:dLbl>
              <c:idx val="5"/>
              <c:layout>
                <c:manualLayout>
                  <c:x val="-4.19735416849635E-3"/>
                  <c:y val="2.05390272350232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6-4BBC-8FC7-1E335D75FB69}"/>
                </c:ext>
              </c:extLst>
            </c:dLbl>
            <c:dLbl>
              <c:idx val="6"/>
              <c:layout>
                <c:manualLayout>
                  <c:x val="-9.6893825147672582E-3"/>
                  <c:y val="2.42683237663663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5C6-4BBC-8FC7-1E335D75FB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Gewichte!$T$77:$T$83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</c:numCache>
            </c:numRef>
          </c:xVal>
          <c:yVal>
            <c:numRef>
              <c:f>Gewichte!$U$77:$U$83</c:f>
              <c:numCache>
                <c:formatCode>0.000</c:formatCode>
                <c:ptCount val="7"/>
                <c:pt idx="0">
                  <c:v>0</c:v>
                </c:pt>
                <c:pt idx="1">
                  <c:v>0.45658884787837495</c:v>
                </c:pt>
                <c:pt idx="2">
                  <c:v>0.9131776957567499</c:v>
                </c:pt>
                <c:pt idx="3">
                  <c:v>2.2829442393918749</c:v>
                </c:pt>
                <c:pt idx="4">
                  <c:v>4.5658884787837497</c:v>
                </c:pt>
                <c:pt idx="5">
                  <c:v>6.8488327181756237</c:v>
                </c:pt>
                <c:pt idx="6">
                  <c:v>9.1317769575674994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04-4708-BC62-D162545CFD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36853528"/>
        <c:axId val="536850904"/>
      </c:scatterChart>
      <c:valAx>
        <c:axId val="53685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Last</a:t>
                </a:r>
                <a:r>
                  <a:rPr lang="de-DE" baseline="0"/>
                  <a:t> in kg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6850904"/>
        <c:crosses val="autoZero"/>
        <c:crossBetween val="midCat"/>
      </c:valAx>
      <c:valAx>
        <c:axId val="53685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6853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Unkompensierte Lasterhöhung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Gewichte!$P$46</c:f>
              <c:strCache>
                <c:ptCount val="1"/>
                <c:pt idx="0">
                  <c:v>Gewichte unten montiert, Abweichung zur Referenz-Base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Gewichte!$O$48:$O$52</c:f>
              <c:numCache>
                <c:formatCode>General</c:formatCode>
                <c:ptCount val="5"/>
                <c:pt idx="0">
                  <c:v>35</c:v>
                </c:pt>
                <c:pt idx="1">
                  <c:v>42</c:v>
                </c:pt>
                <c:pt idx="2">
                  <c:v>47</c:v>
                </c:pt>
                <c:pt idx="3">
                  <c:v>52</c:v>
                </c:pt>
                <c:pt idx="4">
                  <c:v>57</c:v>
                </c:pt>
              </c:numCache>
            </c:numRef>
          </c:xVal>
          <c:yVal>
            <c:numRef>
              <c:f>Gewichte!$P$48:$P$52</c:f>
              <c:numCache>
                <c:formatCode>0.000</c:formatCode>
                <c:ptCount val="5"/>
                <c:pt idx="0">
                  <c:v>1.1432047060785495</c:v>
                </c:pt>
                <c:pt idx="1">
                  <c:v>1.6175298613797955</c:v>
                </c:pt>
                <c:pt idx="2">
                  <c:v>1.7407966018195866</c:v>
                </c:pt>
                <c:pt idx="3">
                  <c:v>2.0741460432535215</c:v>
                </c:pt>
                <c:pt idx="4">
                  <c:v>2.3343772188745278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7-4661-9A4D-BD27D1D0D7CE}"/>
            </c:ext>
          </c:extLst>
        </c:ser>
        <c:ser>
          <c:idx val="1"/>
          <c:order val="1"/>
          <c:tx>
            <c:strRef>
              <c:f>Gewichte!$P$75</c:f>
              <c:strCache>
                <c:ptCount val="1"/>
                <c:pt idx="0">
                  <c:v>Gewichte seitlich montiert, Abweichung zur Referenz-Base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Gewichte!$O$77:$O$79</c:f>
              <c:numCache>
                <c:formatCode>General</c:formatCode>
                <c:ptCount val="3"/>
                <c:pt idx="0">
                  <c:v>47</c:v>
                </c:pt>
                <c:pt idx="1">
                  <c:v>52</c:v>
                </c:pt>
                <c:pt idx="2">
                  <c:v>57</c:v>
                </c:pt>
              </c:numCache>
            </c:numRef>
          </c:xVal>
          <c:yVal>
            <c:numRef>
              <c:f>Gewichte!$P$77:$P$79</c:f>
              <c:numCache>
                <c:formatCode>0.000</c:formatCode>
                <c:ptCount val="3"/>
                <c:pt idx="0">
                  <c:v>1.453656424331492</c:v>
                </c:pt>
                <c:pt idx="1">
                  <c:v>1.7156447767531184</c:v>
                </c:pt>
                <c:pt idx="2">
                  <c:v>1.9102452722098668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A7-4661-9A4D-BD27D1D0D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60736"/>
        <c:axId val="47265056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Gewichte!$P$76</c15:sqref>
                        </c15:formulaRef>
                      </c:ext>
                    </c:extLst>
                    <c:strCache>
                      <c:ptCount val="1"/>
                      <c:pt idx="0">
                        <c:v>unkomp. Base Abweichung Translation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Gewichte!$O$50:$O$52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47</c:v>
                      </c:pt>
                      <c:pt idx="1">
                        <c:v>52</c:v>
                      </c:pt>
                      <c:pt idx="2">
                        <c:v>57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Gewichte!$P$77:$P$79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1.453656424331492</c:v>
                      </c:pt>
                      <c:pt idx="1">
                        <c:v>1.7156447767531184</c:v>
                      </c:pt>
                      <c:pt idx="2">
                        <c:v>1.9102452722098668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3A7-4661-9A4D-BD27D1D0D7C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Gewichte!$Q$76</c15:sqref>
                        </c15:formulaRef>
                      </c:ext>
                    </c:extLst>
                    <c:strCache>
                      <c:ptCount val="1"/>
                      <c:pt idx="0">
                        <c:v>unkomp. Base Abweichung Rotation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Gewichte!$O$50:$O$52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47</c:v>
                      </c:pt>
                      <c:pt idx="1">
                        <c:v>52</c:v>
                      </c:pt>
                      <c:pt idx="2">
                        <c:v>57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Gewichte!$Q$77:$Q$79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1.9501662713821999</c:v>
                      </c:pt>
                      <c:pt idx="1">
                        <c:v>1.9632432891929463</c:v>
                      </c:pt>
                      <c:pt idx="2">
                        <c:v>1.7649412836518945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A7-4661-9A4D-BD27D1D0D7CE}"/>
                  </c:ext>
                </c:extLst>
              </c15:ser>
            </c15:filteredScatterSeries>
          </c:ext>
        </c:extLst>
      </c:scatterChart>
      <c:valAx>
        <c:axId val="472660736"/>
        <c:scaling>
          <c:orientation val="minMax"/>
          <c:max val="57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Zusatzlast</a:t>
                </a:r>
                <a:r>
                  <a:rPr lang="de-DE" baseline="0"/>
                  <a:t> am Roboter in kg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650568"/>
        <c:crosses val="autoZero"/>
        <c:crossBetween val="midCat"/>
        <c:majorUnit val="5"/>
      </c:valAx>
      <c:valAx>
        <c:axId val="47265056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66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Kompensierte Lasterhöhung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Gewichte!$P$53</c:f>
              <c:strCache>
                <c:ptCount val="1"/>
                <c:pt idx="0">
                  <c:v>komp. Base Abweichung Translation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Gewichte!$O$54:$O$58</c:f>
              <c:numCache>
                <c:formatCode>General</c:formatCode>
                <c:ptCount val="5"/>
                <c:pt idx="0">
                  <c:v>35</c:v>
                </c:pt>
                <c:pt idx="1">
                  <c:v>42</c:v>
                </c:pt>
                <c:pt idx="2">
                  <c:v>47</c:v>
                </c:pt>
                <c:pt idx="3">
                  <c:v>52</c:v>
                </c:pt>
                <c:pt idx="4">
                  <c:v>57</c:v>
                </c:pt>
              </c:numCache>
            </c:numRef>
          </c:xVal>
          <c:yVal>
            <c:numRef>
              <c:f>Gewichte!$P$54:$P$58</c:f>
              <c:numCache>
                <c:formatCode>0.000</c:formatCode>
                <c:ptCount val="5"/>
                <c:pt idx="0">
                  <c:v>0.8</c:v>
                </c:pt>
                <c:pt idx="1">
                  <c:v>0.94813342942863976</c:v>
                </c:pt>
                <c:pt idx="2">
                  <c:v>0.56119248034892633</c:v>
                </c:pt>
                <c:pt idx="3">
                  <c:v>0.79085839440456263</c:v>
                </c:pt>
                <c:pt idx="4">
                  <c:v>0.97452398636464488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0B-49B8-87B0-CE1E93A8BFFB}"/>
            </c:ext>
          </c:extLst>
        </c:ser>
        <c:ser>
          <c:idx val="1"/>
          <c:order val="1"/>
          <c:tx>
            <c:strRef>
              <c:f>Gewichte!$Q$53</c:f>
              <c:strCache>
                <c:ptCount val="1"/>
                <c:pt idx="0">
                  <c:v>komp. Base Abweichung Rotation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Gewichte!$O$54:$O$58</c:f>
              <c:numCache>
                <c:formatCode>General</c:formatCode>
                <c:ptCount val="5"/>
                <c:pt idx="0">
                  <c:v>35</c:v>
                </c:pt>
                <c:pt idx="1">
                  <c:v>42</c:v>
                </c:pt>
                <c:pt idx="2">
                  <c:v>47</c:v>
                </c:pt>
                <c:pt idx="3">
                  <c:v>52</c:v>
                </c:pt>
                <c:pt idx="4">
                  <c:v>57</c:v>
                </c:pt>
              </c:numCache>
            </c:numRef>
          </c:xVal>
          <c:yVal>
            <c:numRef>
              <c:f>Gewichte!$Q$54:$Q$58</c:f>
              <c:numCache>
                <c:formatCode>0.000</c:formatCode>
                <c:ptCount val="5"/>
                <c:pt idx="0">
                  <c:v>1.6</c:v>
                </c:pt>
                <c:pt idx="1">
                  <c:v>1.6292440566167714</c:v>
                </c:pt>
                <c:pt idx="2">
                  <c:v>1.4329780273200032</c:v>
                </c:pt>
                <c:pt idx="3">
                  <c:v>1.5448875311910706</c:v>
                </c:pt>
                <c:pt idx="4">
                  <c:v>1.6704177816481693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0B-49B8-87B0-CE1E93A8B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60736"/>
        <c:axId val="47265056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Gewichte!$P$80</c15:sqref>
                        </c15:formulaRef>
                      </c:ext>
                    </c:extLst>
                    <c:strCache>
                      <c:ptCount val="1"/>
                      <c:pt idx="0">
                        <c:v>komp. Base Abweichung Translation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Gewichte!$O$81:$O$83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47</c:v>
                      </c:pt>
                      <c:pt idx="1">
                        <c:v>52</c:v>
                      </c:pt>
                      <c:pt idx="2">
                        <c:v>57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Gewichte!$P$81:$P$83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0.71841283396120281</c:v>
                      </c:pt>
                      <c:pt idx="1">
                        <c:v>0.73818493617790959</c:v>
                      </c:pt>
                      <c:pt idx="2">
                        <c:v>0.89945372310088134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00B-49B8-87B0-CE1E93A8BFF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Gewichte!$Q$80</c15:sqref>
                        </c15:formulaRef>
                      </c:ext>
                    </c:extLst>
                    <c:strCache>
                      <c:ptCount val="1"/>
                      <c:pt idx="0">
                        <c:v>komp. Base Abweichung Rotation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Gewichte!$O$81:$O$83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47</c:v>
                      </c:pt>
                      <c:pt idx="1">
                        <c:v>52</c:v>
                      </c:pt>
                      <c:pt idx="2">
                        <c:v>57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Gewichte!$Q$81:$Q$83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1.5537351935930992</c:v>
                      </c:pt>
                      <c:pt idx="1">
                        <c:v>1.5132115333081522</c:v>
                      </c:pt>
                      <c:pt idx="2">
                        <c:v>1.5730248888457363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0B-49B8-87B0-CE1E93A8BFFB}"/>
                  </c:ext>
                </c:extLst>
              </c15:ser>
            </c15:filteredScatterSeries>
          </c:ext>
        </c:extLst>
      </c:scatterChart>
      <c:valAx>
        <c:axId val="472660736"/>
        <c:scaling>
          <c:orientation val="minMax"/>
          <c:max val="57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Zusatzlast</a:t>
                </a:r>
                <a:r>
                  <a:rPr lang="de-DE" baseline="0"/>
                  <a:t> am Roboter in kg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650568"/>
        <c:crosses val="autoZero"/>
        <c:crossBetween val="midCat"/>
        <c:majorUnit val="5"/>
      </c:valAx>
      <c:valAx>
        <c:axId val="472650568"/>
        <c:scaling>
          <c:orientation val="minMax"/>
          <c:max val="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66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Kompensierte Lasterhöhung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Gewichte!$P$46</c:f>
              <c:strCache>
                <c:ptCount val="1"/>
                <c:pt idx="0">
                  <c:v>Gewichte unten montiert, Abweichung zur Referenz-Base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Gewichte!$O$48:$O$52</c:f>
              <c:numCache>
                <c:formatCode>General</c:formatCode>
                <c:ptCount val="5"/>
                <c:pt idx="0">
                  <c:v>35</c:v>
                </c:pt>
                <c:pt idx="1">
                  <c:v>42</c:v>
                </c:pt>
                <c:pt idx="2">
                  <c:v>47</c:v>
                </c:pt>
                <c:pt idx="3">
                  <c:v>52</c:v>
                </c:pt>
                <c:pt idx="4">
                  <c:v>57</c:v>
                </c:pt>
              </c:numCache>
            </c:numRef>
          </c:xVal>
          <c:yVal>
            <c:numRef>
              <c:f>Gewichte!$P$54:$P$58</c:f>
              <c:numCache>
                <c:formatCode>0.000</c:formatCode>
                <c:ptCount val="5"/>
                <c:pt idx="0">
                  <c:v>0.8</c:v>
                </c:pt>
                <c:pt idx="1">
                  <c:v>0.94813342942863976</c:v>
                </c:pt>
                <c:pt idx="2">
                  <c:v>0.56119248034892633</c:v>
                </c:pt>
                <c:pt idx="3">
                  <c:v>0.79085839440456263</c:v>
                </c:pt>
                <c:pt idx="4">
                  <c:v>0.97452398636464488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F-48AE-A7E2-8DD6AD8578FF}"/>
            </c:ext>
          </c:extLst>
        </c:ser>
        <c:ser>
          <c:idx val="1"/>
          <c:order val="1"/>
          <c:tx>
            <c:strRef>
              <c:f>Gewichte!$P$75</c:f>
              <c:strCache>
                <c:ptCount val="1"/>
                <c:pt idx="0">
                  <c:v>Gewichte seitlich montiert, Abweichung zur Referenz-Base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Gewichte!$O$48:$O$52</c:f>
              <c:numCache>
                <c:formatCode>General</c:formatCode>
                <c:ptCount val="5"/>
                <c:pt idx="0">
                  <c:v>35</c:v>
                </c:pt>
                <c:pt idx="1">
                  <c:v>42</c:v>
                </c:pt>
                <c:pt idx="2">
                  <c:v>47</c:v>
                </c:pt>
                <c:pt idx="3">
                  <c:v>52</c:v>
                </c:pt>
                <c:pt idx="4">
                  <c:v>57</c:v>
                </c:pt>
              </c:numCache>
            </c:numRef>
          </c:xVal>
          <c:yVal>
            <c:numRef>
              <c:f>(Gewichte!$P$54,Gewichte!$P$55,Gewichte!$P$81,Gewichte!$P$82,Gewichte!$P$83)</c:f>
              <c:numCache>
                <c:formatCode>0.000</c:formatCode>
                <c:ptCount val="5"/>
                <c:pt idx="0">
                  <c:v>0.8</c:v>
                </c:pt>
                <c:pt idx="1">
                  <c:v>0.94813342942863976</c:v>
                </c:pt>
                <c:pt idx="2">
                  <c:v>0.71841283396120281</c:v>
                </c:pt>
                <c:pt idx="3">
                  <c:v>0.73818493617790959</c:v>
                </c:pt>
                <c:pt idx="4">
                  <c:v>0.89945372310088134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6F-48AE-A7E2-8DD6AD85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60736"/>
        <c:axId val="472650568"/>
        <c:extLst/>
      </c:scatterChart>
      <c:valAx>
        <c:axId val="472660736"/>
        <c:scaling>
          <c:orientation val="minMax"/>
          <c:max val="57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Zusatzlast</a:t>
                </a:r>
                <a:r>
                  <a:rPr lang="de-DE" baseline="0"/>
                  <a:t> am Roboter in kg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650568"/>
        <c:crosses val="autoZero"/>
        <c:crossBetween val="midCat"/>
        <c:majorUnit val="5"/>
      </c:valAx>
      <c:valAx>
        <c:axId val="472650568"/>
        <c:scaling>
          <c:orientation val="minMax"/>
          <c:max val="1.2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66073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Base-Abweichung</a:t>
            </a:r>
            <a:r>
              <a:rPr lang="de-DE" baseline="0"/>
              <a:t> bei unterschiedlicher</a:t>
            </a:r>
            <a:r>
              <a:rPr lang="de-DE"/>
              <a:t> Lage des TCP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'Lage TCP'!$E$28:$E$34</c:f>
              <c:numCache>
                <c:formatCode>0.00</c:formatCode>
                <c:ptCount val="7"/>
                <c:pt idx="0">
                  <c:v>252.18768521876717</c:v>
                </c:pt>
                <c:pt idx="1">
                  <c:v>252.18180655233638</c:v>
                </c:pt>
                <c:pt idx="2">
                  <c:v>346.45955826907129</c:v>
                </c:pt>
                <c:pt idx="3">
                  <c:v>346.46439698185441</c:v>
                </c:pt>
                <c:pt idx="4">
                  <c:v>294.80067980925691</c:v>
                </c:pt>
                <c:pt idx="5">
                  <c:v>303.5199614786481</c:v>
                </c:pt>
                <c:pt idx="6">
                  <c:v>303.54563020409307</c:v>
                </c:pt>
              </c:numCache>
            </c:numRef>
          </c:xVal>
          <c:yVal>
            <c:numRef>
              <c:f>'Lage TCP'!$F$28:$F$34</c:f>
              <c:numCache>
                <c:formatCode>0.00</c:formatCode>
                <c:ptCount val="7"/>
                <c:pt idx="0">
                  <c:v>0.95453496531038129</c:v>
                </c:pt>
                <c:pt idx="1">
                  <c:v>0.97756687750769466</c:v>
                </c:pt>
                <c:pt idx="2">
                  <c:v>0.76246770423417276</c:v>
                </c:pt>
                <c:pt idx="3">
                  <c:v>0.77727536947990539</c:v>
                </c:pt>
                <c:pt idx="4">
                  <c:v>0.82832179737111122</c:v>
                </c:pt>
                <c:pt idx="5">
                  <c:v>0.9574429486920556</c:v>
                </c:pt>
                <c:pt idx="6">
                  <c:v>0.8653536849174237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FF-48EA-9D79-55E4DF7D9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059608"/>
        <c:axId val="455072072"/>
      </c:scatterChart>
      <c:valAx>
        <c:axId val="455059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Distanz des TCP zum TCP0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5072072"/>
        <c:crosses val="autoZero"/>
        <c:crossBetween val="midCat"/>
      </c:valAx>
      <c:valAx>
        <c:axId val="45507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/>
                  <a:t>Abweichung</a:t>
                </a:r>
                <a:r>
                  <a:rPr lang="de-DE" sz="1600" baseline="0"/>
                  <a:t> in mm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5059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200"/>
              <a:t>Vergleich</a:t>
            </a:r>
            <a:r>
              <a:rPr lang="de-DE" sz="1200" baseline="0"/>
              <a:t> Base-Abw. und mittlerer Abstand zu Soll-Koordinate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baseTests!$U$7:$U$18</c:f>
              <c:numCache>
                <c:formatCode>0.000</c:formatCode>
                <c:ptCount val="12"/>
                <c:pt idx="0">
                  <c:v>1.2511182997622508</c:v>
                </c:pt>
                <c:pt idx="1">
                  <c:v>0.91154648811792849</c:v>
                </c:pt>
                <c:pt idx="2">
                  <c:v>1.1120148380305572</c:v>
                </c:pt>
                <c:pt idx="3">
                  <c:v>0.35371881487997681</c:v>
                </c:pt>
                <c:pt idx="4">
                  <c:v>0.55434375616585474</c:v>
                </c:pt>
                <c:pt idx="5">
                  <c:v>1.3152935033672919</c:v>
                </c:pt>
                <c:pt idx="6">
                  <c:v>0.86920480900656583</c:v>
                </c:pt>
                <c:pt idx="7">
                  <c:v>0.70958931784527668</c:v>
                </c:pt>
                <c:pt idx="8">
                  <c:v>0.79087103879205356</c:v>
                </c:pt>
                <c:pt idx="9">
                  <c:v>1.6856206572062387</c:v>
                </c:pt>
                <c:pt idx="10">
                  <c:v>0.47298731484055656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B-4422-9F53-E2AC832D581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baseTests!$V$7:$V$18</c:f>
              <c:numCache>
                <c:formatCode>0.000</c:formatCode>
                <c:ptCount val="12"/>
                <c:pt idx="0">
                  <c:v>0.92200867674876463</c:v>
                </c:pt>
                <c:pt idx="1">
                  <c:v>1.0507589849458769</c:v>
                </c:pt>
                <c:pt idx="2">
                  <c:v>0.9734474818910468</c:v>
                </c:pt>
                <c:pt idx="3">
                  <c:v>1.056048715206287</c:v>
                </c:pt>
                <c:pt idx="4">
                  <c:v>1.2137686661798348</c:v>
                </c:pt>
                <c:pt idx="5">
                  <c:v>1.7564587163443857</c:v>
                </c:pt>
                <c:pt idx="6">
                  <c:v>0.36958685642815442</c:v>
                </c:pt>
                <c:pt idx="7">
                  <c:v>0.37534058607559206</c:v>
                </c:pt>
                <c:pt idx="8">
                  <c:v>0.21124630174279679</c:v>
                </c:pt>
                <c:pt idx="9">
                  <c:v>0.64970292356495851</c:v>
                </c:pt>
                <c:pt idx="10">
                  <c:v>0.37511849979557538</c:v>
                </c:pt>
                <c:pt idx="11">
                  <c:v>0.60543288611688395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8B-4422-9F53-E2AC832D5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885064"/>
        <c:axId val="449883752"/>
      </c:barChart>
      <c:catAx>
        <c:axId val="449885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449883752"/>
        <c:crosses val="autoZero"/>
        <c:auto val="1"/>
        <c:lblAlgn val="ctr"/>
        <c:lblOffset val="100"/>
        <c:noMultiLvlLbl val="0"/>
      </c:catAx>
      <c:valAx>
        <c:axId val="44988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988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Übersicht aller BaseTest Punkte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BaseTest Punkte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baseTests!$C$7:$C$84</c:f>
              <c:numCache>
                <c:formatCode>0.00</c:formatCode>
                <c:ptCount val="78"/>
                <c:pt idx="0">
                  <c:v>531.74</c:v>
                </c:pt>
                <c:pt idx="1">
                  <c:v>529.26</c:v>
                </c:pt>
                <c:pt idx="2">
                  <c:v>505.93</c:v>
                </c:pt>
                <c:pt idx="3">
                  <c:v>470.04</c:v>
                </c:pt>
                <c:pt idx="4">
                  <c:v>470.2</c:v>
                </c:pt>
                <c:pt idx="5">
                  <c:v>470.39</c:v>
                </c:pt>
                <c:pt idx="6">
                  <c:v>-21.32</c:v>
                </c:pt>
                <c:pt idx="7">
                  <c:v>759.54</c:v>
                </c:pt>
                <c:pt idx="8">
                  <c:v>492.76</c:v>
                </c:pt>
                <c:pt idx="9">
                  <c:v>105.51</c:v>
                </c:pt>
                <c:pt idx="10">
                  <c:v>841.29</c:v>
                </c:pt>
                <c:pt idx="11">
                  <c:v>684.51</c:v>
                </c:pt>
                <c:pt idx="12">
                  <c:v>-15.18</c:v>
                </c:pt>
                <c:pt idx="13">
                  <c:v>742.9</c:v>
                </c:pt>
                <c:pt idx="14">
                  <c:v>494.11</c:v>
                </c:pt>
                <c:pt idx="15">
                  <c:v>807.49</c:v>
                </c:pt>
                <c:pt idx="16">
                  <c:v>518.95000000000005</c:v>
                </c:pt>
                <c:pt idx="17">
                  <c:v>99.71</c:v>
                </c:pt>
                <c:pt idx="18">
                  <c:v>771.6</c:v>
                </c:pt>
                <c:pt idx="19">
                  <c:v>424.14</c:v>
                </c:pt>
                <c:pt idx="20">
                  <c:v>423.74</c:v>
                </c:pt>
                <c:pt idx="21">
                  <c:v>745.55</c:v>
                </c:pt>
                <c:pt idx="22">
                  <c:v>654.70000000000005</c:v>
                </c:pt>
                <c:pt idx="23">
                  <c:v>150.9</c:v>
                </c:pt>
                <c:pt idx="24">
                  <c:v>721.35</c:v>
                </c:pt>
                <c:pt idx="25">
                  <c:v>1467.66</c:v>
                </c:pt>
                <c:pt idx="26">
                  <c:v>1794.34</c:v>
                </c:pt>
                <c:pt idx="27">
                  <c:v>723.61</c:v>
                </c:pt>
                <c:pt idx="28">
                  <c:v>769.24</c:v>
                </c:pt>
                <c:pt idx="29">
                  <c:v>215.69</c:v>
                </c:pt>
                <c:pt idx="30">
                  <c:v>366.68</c:v>
                </c:pt>
                <c:pt idx="31">
                  <c:v>811</c:v>
                </c:pt>
                <c:pt idx="32">
                  <c:v>822.87</c:v>
                </c:pt>
                <c:pt idx="33">
                  <c:v>-20.23</c:v>
                </c:pt>
                <c:pt idx="34">
                  <c:v>595.04999999999995</c:v>
                </c:pt>
                <c:pt idx="35">
                  <c:v>210.68</c:v>
                </c:pt>
                <c:pt idx="36">
                  <c:v>884.26</c:v>
                </c:pt>
                <c:pt idx="37">
                  <c:v>226.42</c:v>
                </c:pt>
                <c:pt idx="38">
                  <c:v>860.98</c:v>
                </c:pt>
                <c:pt idx="39">
                  <c:v>514.04</c:v>
                </c:pt>
                <c:pt idx="40">
                  <c:v>512.83000000000004</c:v>
                </c:pt>
                <c:pt idx="41">
                  <c:v>801.09</c:v>
                </c:pt>
                <c:pt idx="42">
                  <c:v>86.19</c:v>
                </c:pt>
                <c:pt idx="43">
                  <c:v>129.69</c:v>
                </c:pt>
                <c:pt idx="44">
                  <c:v>773.24</c:v>
                </c:pt>
                <c:pt idx="45">
                  <c:v>444.99</c:v>
                </c:pt>
                <c:pt idx="46">
                  <c:v>444.89</c:v>
                </c:pt>
                <c:pt idx="47">
                  <c:v>43.93</c:v>
                </c:pt>
                <c:pt idx="48">
                  <c:v>706.95</c:v>
                </c:pt>
                <c:pt idx="49">
                  <c:v>727.88</c:v>
                </c:pt>
                <c:pt idx="50">
                  <c:v>94</c:v>
                </c:pt>
                <c:pt idx="51">
                  <c:v>562.70000000000005</c:v>
                </c:pt>
                <c:pt idx="52">
                  <c:v>562.4</c:v>
                </c:pt>
                <c:pt idx="53">
                  <c:v>774.46</c:v>
                </c:pt>
                <c:pt idx="54">
                  <c:v>453.32</c:v>
                </c:pt>
                <c:pt idx="55">
                  <c:v>743.23</c:v>
                </c:pt>
                <c:pt idx="56">
                  <c:v>158</c:v>
                </c:pt>
                <c:pt idx="57">
                  <c:v>141.44</c:v>
                </c:pt>
                <c:pt idx="58">
                  <c:v>141.85</c:v>
                </c:pt>
                <c:pt idx="59">
                  <c:v>453.21</c:v>
                </c:pt>
                <c:pt idx="60">
                  <c:v>732.43</c:v>
                </c:pt>
                <c:pt idx="61">
                  <c:v>479.88</c:v>
                </c:pt>
                <c:pt idx="62">
                  <c:v>787.98</c:v>
                </c:pt>
                <c:pt idx="63">
                  <c:v>157.07</c:v>
                </c:pt>
                <c:pt idx="64">
                  <c:v>156.74</c:v>
                </c:pt>
                <c:pt idx="65">
                  <c:v>737.14</c:v>
                </c:pt>
                <c:pt idx="66">
                  <c:v>437.81</c:v>
                </c:pt>
                <c:pt idx="67">
                  <c:v>718.45</c:v>
                </c:pt>
                <c:pt idx="68">
                  <c:v>109.17</c:v>
                </c:pt>
                <c:pt idx="69">
                  <c:v>442.03</c:v>
                </c:pt>
                <c:pt idx="70">
                  <c:v>550.04999999999995</c:v>
                </c:pt>
                <c:pt idx="71">
                  <c:v>148.28</c:v>
                </c:pt>
                <c:pt idx="72">
                  <c:v>230.05</c:v>
                </c:pt>
                <c:pt idx="73">
                  <c:v>870.47</c:v>
                </c:pt>
                <c:pt idx="74">
                  <c:v>803.97</c:v>
                </c:pt>
                <c:pt idx="75">
                  <c:v>841.89</c:v>
                </c:pt>
                <c:pt idx="76">
                  <c:v>262.52</c:v>
                </c:pt>
                <c:pt idx="77">
                  <c:v>1213.3</c:v>
                </c:pt>
              </c:numCache>
            </c:numRef>
          </c:xVal>
          <c:yVal>
            <c:numRef>
              <c:f>baseTests!$D$7:$D$84</c:f>
              <c:numCache>
                <c:formatCode>0.00</c:formatCode>
                <c:ptCount val="78"/>
                <c:pt idx="0">
                  <c:v>162.56</c:v>
                </c:pt>
                <c:pt idx="1">
                  <c:v>861.56</c:v>
                </c:pt>
                <c:pt idx="2">
                  <c:v>1332.29</c:v>
                </c:pt>
                <c:pt idx="3">
                  <c:v>-453.56</c:v>
                </c:pt>
                <c:pt idx="4">
                  <c:v>-453.43</c:v>
                </c:pt>
                <c:pt idx="5">
                  <c:v>-680.09</c:v>
                </c:pt>
                <c:pt idx="6">
                  <c:v>1135.83</c:v>
                </c:pt>
                <c:pt idx="7">
                  <c:v>922.01</c:v>
                </c:pt>
                <c:pt idx="8">
                  <c:v>582.03</c:v>
                </c:pt>
                <c:pt idx="9">
                  <c:v>9.75</c:v>
                </c:pt>
                <c:pt idx="10">
                  <c:v>-143.25</c:v>
                </c:pt>
                <c:pt idx="11">
                  <c:v>-817.69</c:v>
                </c:pt>
                <c:pt idx="12">
                  <c:v>1137.1500000000001</c:v>
                </c:pt>
                <c:pt idx="13">
                  <c:v>1061.8800000000001</c:v>
                </c:pt>
                <c:pt idx="14">
                  <c:v>527.05999999999995</c:v>
                </c:pt>
                <c:pt idx="15">
                  <c:v>-226.24</c:v>
                </c:pt>
                <c:pt idx="16">
                  <c:v>-670.94</c:v>
                </c:pt>
                <c:pt idx="17">
                  <c:v>-41.94</c:v>
                </c:pt>
                <c:pt idx="18">
                  <c:v>-271.52</c:v>
                </c:pt>
                <c:pt idx="19">
                  <c:v>-271.56</c:v>
                </c:pt>
                <c:pt idx="20">
                  <c:v>430.82</c:v>
                </c:pt>
                <c:pt idx="21">
                  <c:v>333.06</c:v>
                </c:pt>
                <c:pt idx="22">
                  <c:v>870.68</c:v>
                </c:pt>
                <c:pt idx="23">
                  <c:v>918.63</c:v>
                </c:pt>
                <c:pt idx="24">
                  <c:v>-710.48</c:v>
                </c:pt>
                <c:pt idx="25">
                  <c:v>-713.13</c:v>
                </c:pt>
                <c:pt idx="26">
                  <c:v>-840.95</c:v>
                </c:pt>
                <c:pt idx="27">
                  <c:v>1009.41</c:v>
                </c:pt>
                <c:pt idx="28">
                  <c:v>-107.16</c:v>
                </c:pt>
                <c:pt idx="29">
                  <c:v>74.75</c:v>
                </c:pt>
                <c:pt idx="30">
                  <c:v>448.29</c:v>
                </c:pt>
                <c:pt idx="31">
                  <c:v>779.16</c:v>
                </c:pt>
                <c:pt idx="32">
                  <c:v>467.12</c:v>
                </c:pt>
                <c:pt idx="33">
                  <c:v>1015.33</c:v>
                </c:pt>
                <c:pt idx="34">
                  <c:v>669.28</c:v>
                </c:pt>
                <c:pt idx="35">
                  <c:v>991.59</c:v>
                </c:pt>
                <c:pt idx="36">
                  <c:v>938.94</c:v>
                </c:pt>
                <c:pt idx="37">
                  <c:v>148.85</c:v>
                </c:pt>
                <c:pt idx="38">
                  <c:v>179.16</c:v>
                </c:pt>
                <c:pt idx="39">
                  <c:v>-547.26</c:v>
                </c:pt>
                <c:pt idx="40">
                  <c:v>-548.37</c:v>
                </c:pt>
                <c:pt idx="41">
                  <c:v>37.72</c:v>
                </c:pt>
                <c:pt idx="42">
                  <c:v>13.03</c:v>
                </c:pt>
                <c:pt idx="43">
                  <c:v>914.52</c:v>
                </c:pt>
                <c:pt idx="44">
                  <c:v>830.55</c:v>
                </c:pt>
                <c:pt idx="45">
                  <c:v>499.47</c:v>
                </c:pt>
                <c:pt idx="46">
                  <c:v>499.41</c:v>
                </c:pt>
                <c:pt idx="47">
                  <c:v>957.81</c:v>
                </c:pt>
                <c:pt idx="48">
                  <c:v>892.24</c:v>
                </c:pt>
                <c:pt idx="49">
                  <c:v>180.04</c:v>
                </c:pt>
                <c:pt idx="50">
                  <c:v>231.95</c:v>
                </c:pt>
                <c:pt idx="51">
                  <c:v>-545.78</c:v>
                </c:pt>
                <c:pt idx="52">
                  <c:v>-545.88</c:v>
                </c:pt>
                <c:pt idx="53">
                  <c:v>106.81</c:v>
                </c:pt>
                <c:pt idx="54">
                  <c:v>572</c:v>
                </c:pt>
                <c:pt idx="55">
                  <c:v>920.73</c:v>
                </c:pt>
                <c:pt idx="56">
                  <c:v>845.83</c:v>
                </c:pt>
                <c:pt idx="57">
                  <c:v>143.11000000000001</c:v>
                </c:pt>
                <c:pt idx="58">
                  <c:v>143.66</c:v>
                </c:pt>
                <c:pt idx="59">
                  <c:v>-514.51</c:v>
                </c:pt>
                <c:pt idx="60">
                  <c:v>29.67</c:v>
                </c:pt>
                <c:pt idx="61">
                  <c:v>615.63</c:v>
                </c:pt>
                <c:pt idx="62">
                  <c:v>942.94</c:v>
                </c:pt>
                <c:pt idx="63">
                  <c:v>820.31</c:v>
                </c:pt>
                <c:pt idx="64">
                  <c:v>819.66</c:v>
                </c:pt>
                <c:pt idx="65">
                  <c:v>758.63</c:v>
                </c:pt>
                <c:pt idx="66">
                  <c:v>632.19000000000005</c:v>
                </c:pt>
                <c:pt idx="67">
                  <c:v>221.39</c:v>
                </c:pt>
                <c:pt idx="68">
                  <c:v>141.55000000000001</c:v>
                </c:pt>
                <c:pt idx="69">
                  <c:v>-436.19</c:v>
                </c:pt>
                <c:pt idx="70">
                  <c:v>520.54</c:v>
                </c:pt>
                <c:pt idx="71">
                  <c:v>463.05</c:v>
                </c:pt>
                <c:pt idx="72">
                  <c:v>845.47</c:v>
                </c:pt>
                <c:pt idx="73">
                  <c:v>812.47</c:v>
                </c:pt>
                <c:pt idx="74">
                  <c:v>487.91</c:v>
                </c:pt>
                <c:pt idx="75">
                  <c:v>170.06</c:v>
                </c:pt>
                <c:pt idx="76">
                  <c:v>1.98</c:v>
                </c:pt>
                <c:pt idx="77">
                  <c:v>-900.97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1C-4FF7-BBC5-2F3D13E37AC4}"/>
            </c:ext>
          </c:extLst>
        </c:ser>
        <c:ser>
          <c:idx val="1"/>
          <c:order val="1"/>
          <c:tx>
            <c:v>Tischecken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baseTests!$C$112:$C$115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1000</c:v>
                </c:pt>
                <c:pt idx="3">
                  <c:v>1000</c:v>
                </c:pt>
              </c:numCache>
            </c:numRef>
          </c:xVal>
          <c:yVal>
            <c:numRef>
              <c:f>baseTests!$D$112:$D$115</c:f>
              <c:numCache>
                <c:formatCode>General</c:formatCode>
                <c:ptCount val="4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1C-4FF7-BBC5-2F3D13E37A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42158112"/>
        <c:axId val="442158440"/>
      </c:scatterChart>
      <c:valAx>
        <c:axId val="44215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2158440"/>
        <c:crosses val="autoZero"/>
        <c:crossBetween val="midCat"/>
      </c:valAx>
      <c:valAx>
        <c:axId val="44215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215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baseTests!$C$7:$C$12</c:f>
              <c:numCache>
                <c:formatCode>0.00</c:formatCode>
                <c:ptCount val="6"/>
                <c:pt idx="0">
                  <c:v>531.74</c:v>
                </c:pt>
                <c:pt idx="1">
                  <c:v>529.26</c:v>
                </c:pt>
                <c:pt idx="2">
                  <c:v>505.93</c:v>
                </c:pt>
                <c:pt idx="3">
                  <c:v>470.04</c:v>
                </c:pt>
                <c:pt idx="4">
                  <c:v>470.2</c:v>
                </c:pt>
                <c:pt idx="5">
                  <c:v>470.39</c:v>
                </c:pt>
              </c:numCache>
            </c:numRef>
          </c:xVal>
          <c:yVal>
            <c:numRef>
              <c:f>baseTests!$D$7:$D$12</c:f>
              <c:numCache>
                <c:formatCode>0.00</c:formatCode>
                <c:ptCount val="6"/>
                <c:pt idx="0">
                  <c:v>162.56</c:v>
                </c:pt>
                <c:pt idx="1">
                  <c:v>861.56</c:v>
                </c:pt>
                <c:pt idx="2">
                  <c:v>1332.29</c:v>
                </c:pt>
                <c:pt idx="3">
                  <c:v>-453.56</c:v>
                </c:pt>
                <c:pt idx="4">
                  <c:v>-453.43</c:v>
                </c:pt>
                <c:pt idx="5">
                  <c:v>-680.09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0-4DAB-B38D-E71EE1C8D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baseTests!$C$13:$C$18</c:f>
              <c:numCache>
                <c:formatCode>0.00</c:formatCode>
                <c:ptCount val="6"/>
                <c:pt idx="0">
                  <c:v>-21.32</c:v>
                </c:pt>
                <c:pt idx="1">
                  <c:v>759.54</c:v>
                </c:pt>
                <c:pt idx="2">
                  <c:v>492.76</c:v>
                </c:pt>
                <c:pt idx="3">
                  <c:v>105.51</c:v>
                </c:pt>
                <c:pt idx="4">
                  <c:v>841.29</c:v>
                </c:pt>
                <c:pt idx="5">
                  <c:v>684.51</c:v>
                </c:pt>
              </c:numCache>
            </c:numRef>
          </c:xVal>
          <c:yVal>
            <c:numRef>
              <c:f>baseTests!$D$13:$D$18</c:f>
              <c:numCache>
                <c:formatCode>0.00</c:formatCode>
                <c:ptCount val="6"/>
                <c:pt idx="0">
                  <c:v>1135.83</c:v>
                </c:pt>
                <c:pt idx="1">
                  <c:v>922.01</c:v>
                </c:pt>
                <c:pt idx="2">
                  <c:v>582.03</c:v>
                </c:pt>
                <c:pt idx="3">
                  <c:v>9.75</c:v>
                </c:pt>
                <c:pt idx="4">
                  <c:v>-143.25</c:v>
                </c:pt>
                <c:pt idx="5">
                  <c:v>-817.69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D-4618-A4D0-B8D2129AE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baseTests!$C$19:$C$24</c:f>
              <c:numCache>
                <c:formatCode>0.00</c:formatCode>
                <c:ptCount val="6"/>
                <c:pt idx="0">
                  <c:v>-15.18</c:v>
                </c:pt>
                <c:pt idx="1">
                  <c:v>742.9</c:v>
                </c:pt>
                <c:pt idx="2">
                  <c:v>494.11</c:v>
                </c:pt>
                <c:pt idx="3">
                  <c:v>807.49</c:v>
                </c:pt>
                <c:pt idx="4">
                  <c:v>518.95000000000005</c:v>
                </c:pt>
                <c:pt idx="5">
                  <c:v>99.71</c:v>
                </c:pt>
              </c:numCache>
            </c:numRef>
          </c:xVal>
          <c:yVal>
            <c:numRef>
              <c:f>baseTests!$D$19:$D$24</c:f>
              <c:numCache>
                <c:formatCode>0.00</c:formatCode>
                <c:ptCount val="6"/>
                <c:pt idx="0">
                  <c:v>1137.1500000000001</c:v>
                </c:pt>
                <c:pt idx="1">
                  <c:v>1061.8800000000001</c:v>
                </c:pt>
                <c:pt idx="2">
                  <c:v>527.05999999999995</c:v>
                </c:pt>
                <c:pt idx="3">
                  <c:v>-226.24</c:v>
                </c:pt>
                <c:pt idx="4">
                  <c:v>-670.94</c:v>
                </c:pt>
                <c:pt idx="5">
                  <c:v>-41.94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B4-4DB3-A85C-BA204D522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baseTests!$C$25:$C$32</c:f>
              <c:numCache>
                <c:formatCode>0.00</c:formatCode>
                <c:ptCount val="8"/>
                <c:pt idx="0">
                  <c:v>771.6</c:v>
                </c:pt>
                <c:pt idx="1">
                  <c:v>424.14</c:v>
                </c:pt>
                <c:pt idx="2">
                  <c:v>423.74</c:v>
                </c:pt>
                <c:pt idx="3">
                  <c:v>745.55</c:v>
                </c:pt>
                <c:pt idx="4">
                  <c:v>654.70000000000005</c:v>
                </c:pt>
                <c:pt idx="5">
                  <c:v>150.9</c:v>
                </c:pt>
                <c:pt idx="6">
                  <c:v>721.35</c:v>
                </c:pt>
                <c:pt idx="7">
                  <c:v>1467.66</c:v>
                </c:pt>
              </c:numCache>
            </c:numRef>
          </c:xVal>
          <c:yVal>
            <c:numRef>
              <c:f>baseTests!$D$25:$D$32</c:f>
              <c:numCache>
                <c:formatCode>0.00</c:formatCode>
                <c:ptCount val="8"/>
                <c:pt idx="0">
                  <c:v>-271.52</c:v>
                </c:pt>
                <c:pt idx="1">
                  <c:v>-271.56</c:v>
                </c:pt>
                <c:pt idx="2">
                  <c:v>430.82</c:v>
                </c:pt>
                <c:pt idx="3">
                  <c:v>333.06</c:v>
                </c:pt>
                <c:pt idx="4">
                  <c:v>870.68</c:v>
                </c:pt>
                <c:pt idx="5">
                  <c:v>918.63</c:v>
                </c:pt>
                <c:pt idx="6">
                  <c:v>-710.48</c:v>
                </c:pt>
                <c:pt idx="7">
                  <c:v>-713.13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68-48F0-9239-154B2D7CE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baseTests!$C$33:$C$40</c:f>
              <c:numCache>
                <c:formatCode>0.00</c:formatCode>
                <c:ptCount val="8"/>
                <c:pt idx="0">
                  <c:v>1794.34</c:v>
                </c:pt>
                <c:pt idx="1">
                  <c:v>723.61</c:v>
                </c:pt>
                <c:pt idx="2">
                  <c:v>769.24</c:v>
                </c:pt>
                <c:pt idx="3">
                  <c:v>215.69</c:v>
                </c:pt>
                <c:pt idx="4">
                  <c:v>366.68</c:v>
                </c:pt>
                <c:pt idx="5">
                  <c:v>811</c:v>
                </c:pt>
                <c:pt idx="6">
                  <c:v>822.87</c:v>
                </c:pt>
                <c:pt idx="7">
                  <c:v>-20.23</c:v>
                </c:pt>
              </c:numCache>
            </c:numRef>
          </c:xVal>
          <c:yVal>
            <c:numRef>
              <c:f>baseTests!$D$33:$D$40</c:f>
              <c:numCache>
                <c:formatCode>0.00</c:formatCode>
                <c:ptCount val="8"/>
                <c:pt idx="0">
                  <c:v>-840.95</c:v>
                </c:pt>
                <c:pt idx="1">
                  <c:v>1009.41</c:v>
                </c:pt>
                <c:pt idx="2">
                  <c:v>-107.16</c:v>
                </c:pt>
                <c:pt idx="3">
                  <c:v>74.75</c:v>
                </c:pt>
                <c:pt idx="4">
                  <c:v>448.29</c:v>
                </c:pt>
                <c:pt idx="5">
                  <c:v>779.16</c:v>
                </c:pt>
                <c:pt idx="6">
                  <c:v>467.12</c:v>
                </c:pt>
                <c:pt idx="7">
                  <c:v>1015.33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4F-4AD9-BB79-7EF61EB62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baseTests!$C$41:$C$46</c:f>
              <c:numCache>
                <c:formatCode>0.00</c:formatCode>
                <c:ptCount val="6"/>
                <c:pt idx="0">
                  <c:v>595.04999999999995</c:v>
                </c:pt>
                <c:pt idx="1">
                  <c:v>210.68</c:v>
                </c:pt>
                <c:pt idx="2">
                  <c:v>884.26</c:v>
                </c:pt>
                <c:pt idx="3">
                  <c:v>226.42</c:v>
                </c:pt>
                <c:pt idx="4">
                  <c:v>860.98</c:v>
                </c:pt>
                <c:pt idx="5">
                  <c:v>514.04</c:v>
                </c:pt>
              </c:numCache>
            </c:numRef>
          </c:xVal>
          <c:yVal>
            <c:numRef>
              <c:f>baseTests!$D$41:$D$46</c:f>
              <c:numCache>
                <c:formatCode>0.00</c:formatCode>
                <c:ptCount val="6"/>
                <c:pt idx="0">
                  <c:v>669.28</c:v>
                </c:pt>
                <c:pt idx="1">
                  <c:v>991.59</c:v>
                </c:pt>
                <c:pt idx="2">
                  <c:v>938.94</c:v>
                </c:pt>
                <c:pt idx="3">
                  <c:v>148.85</c:v>
                </c:pt>
                <c:pt idx="4">
                  <c:v>179.16</c:v>
                </c:pt>
                <c:pt idx="5">
                  <c:v>-547.26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7-4D76-8023-985176F1C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baseTests!$C$47:$C$52</c:f>
              <c:numCache>
                <c:formatCode>0.00</c:formatCode>
                <c:ptCount val="6"/>
                <c:pt idx="0">
                  <c:v>512.83000000000004</c:v>
                </c:pt>
                <c:pt idx="1">
                  <c:v>801.09</c:v>
                </c:pt>
                <c:pt idx="2">
                  <c:v>86.19</c:v>
                </c:pt>
                <c:pt idx="3">
                  <c:v>129.69</c:v>
                </c:pt>
                <c:pt idx="4">
                  <c:v>773.24</c:v>
                </c:pt>
                <c:pt idx="5">
                  <c:v>444.99</c:v>
                </c:pt>
              </c:numCache>
            </c:numRef>
          </c:xVal>
          <c:yVal>
            <c:numRef>
              <c:f>baseTests!$D$47:$D$52</c:f>
              <c:numCache>
                <c:formatCode>0.00</c:formatCode>
                <c:ptCount val="6"/>
                <c:pt idx="0">
                  <c:v>-548.37</c:v>
                </c:pt>
                <c:pt idx="1">
                  <c:v>37.72</c:v>
                </c:pt>
                <c:pt idx="2">
                  <c:v>13.03</c:v>
                </c:pt>
                <c:pt idx="3">
                  <c:v>914.52</c:v>
                </c:pt>
                <c:pt idx="4">
                  <c:v>830.55</c:v>
                </c:pt>
                <c:pt idx="5">
                  <c:v>499.47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6-465F-9426-42C940EC5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baseTests!$C$53:$C$58</c:f>
              <c:numCache>
                <c:formatCode>0.00</c:formatCode>
                <c:ptCount val="6"/>
                <c:pt idx="0">
                  <c:v>444.89</c:v>
                </c:pt>
                <c:pt idx="1">
                  <c:v>43.93</c:v>
                </c:pt>
                <c:pt idx="2">
                  <c:v>706.95</c:v>
                </c:pt>
                <c:pt idx="3">
                  <c:v>727.88</c:v>
                </c:pt>
                <c:pt idx="4">
                  <c:v>94</c:v>
                </c:pt>
                <c:pt idx="5">
                  <c:v>562.70000000000005</c:v>
                </c:pt>
              </c:numCache>
            </c:numRef>
          </c:xVal>
          <c:yVal>
            <c:numRef>
              <c:f>baseTests!$D$53:$D$58</c:f>
              <c:numCache>
                <c:formatCode>0.00</c:formatCode>
                <c:ptCount val="6"/>
                <c:pt idx="0">
                  <c:v>499.41</c:v>
                </c:pt>
                <c:pt idx="1">
                  <c:v>957.81</c:v>
                </c:pt>
                <c:pt idx="2">
                  <c:v>892.24</c:v>
                </c:pt>
                <c:pt idx="3">
                  <c:v>180.04</c:v>
                </c:pt>
                <c:pt idx="4">
                  <c:v>231.95</c:v>
                </c:pt>
                <c:pt idx="5">
                  <c:v>-545.78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8-4D96-936E-FB503B741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baseTests!$C$59:$C$64</c:f>
              <c:numCache>
                <c:formatCode>0.00</c:formatCode>
                <c:ptCount val="6"/>
                <c:pt idx="0">
                  <c:v>562.4</c:v>
                </c:pt>
                <c:pt idx="1">
                  <c:v>774.46</c:v>
                </c:pt>
                <c:pt idx="2">
                  <c:v>453.32</c:v>
                </c:pt>
                <c:pt idx="3">
                  <c:v>743.23</c:v>
                </c:pt>
                <c:pt idx="4">
                  <c:v>158</c:v>
                </c:pt>
                <c:pt idx="5">
                  <c:v>141.44</c:v>
                </c:pt>
              </c:numCache>
            </c:numRef>
          </c:xVal>
          <c:yVal>
            <c:numRef>
              <c:f>baseTests!$D$59:$D$64</c:f>
              <c:numCache>
                <c:formatCode>0.00</c:formatCode>
                <c:ptCount val="6"/>
                <c:pt idx="0">
                  <c:v>-545.88</c:v>
                </c:pt>
                <c:pt idx="1">
                  <c:v>106.81</c:v>
                </c:pt>
                <c:pt idx="2">
                  <c:v>572</c:v>
                </c:pt>
                <c:pt idx="3">
                  <c:v>920.73</c:v>
                </c:pt>
                <c:pt idx="4">
                  <c:v>845.83</c:v>
                </c:pt>
                <c:pt idx="5">
                  <c:v>143.11000000000001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2-4412-B54B-7A5A272C5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baseTests!$C$65:$C$70</c:f>
              <c:numCache>
                <c:formatCode>0.00</c:formatCode>
                <c:ptCount val="6"/>
                <c:pt idx="0">
                  <c:v>141.85</c:v>
                </c:pt>
                <c:pt idx="1">
                  <c:v>453.21</c:v>
                </c:pt>
                <c:pt idx="2">
                  <c:v>732.43</c:v>
                </c:pt>
                <c:pt idx="3">
                  <c:v>479.88</c:v>
                </c:pt>
                <c:pt idx="4">
                  <c:v>787.98</c:v>
                </c:pt>
                <c:pt idx="5">
                  <c:v>157.07</c:v>
                </c:pt>
              </c:numCache>
            </c:numRef>
          </c:xVal>
          <c:yVal>
            <c:numRef>
              <c:f>baseTests!$D$65:$D$70</c:f>
              <c:numCache>
                <c:formatCode>0.00</c:formatCode>
                <c:ptCount val="6"/>
                <c:pt idx="0">
                  <c:v>143.66</c:v>
                </c:pt>
                <c:pt idx="1">
                  <c:v>-514.51</c:v>
                </c:pt>
                <c:pt idx="2">
                  <c:v>29.67</c:v>
                </c:pt>
                <c:pt idx="3">
                  <c:v>615.63</c:v>
                </c:pt>
                <c:pt idx="4">
                  <c:v>942.94</c:v>
                </c:pt>
                <c:pt idx="5">
                  <c:v>820.31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AE-4763-8220-CEF5A12C0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baseTests!$C$71:$C$76</c:f>
              <c:numCache>
                <c:formatCode>0.00</c:formatCode>
                <c:ptCount val="6"/>
                <c:pt idx="0">
                  <c:v>156.74</c:v>
                </c:pt>
                <c:pt idx="1">
                  <c:v>737.14</c:v>
                </c:pt>
                <c:pt idx="2">
                  <c:v>437.81</c:v>
                </c:pt>
                <c:pt idx="3">
                  <c:v>718.45</c:v>
                </c:pt>
                <c:pt idx="4">
                  <c:v>109.17</c:v>
                </c:pt>
                <c:pt idx="5">
                  <c:v>442.03</c:v>
                </c:pt>
              </c:numCache>
            </c:numRef>
          </c:xVal>
          <c:yVal>
            <c:numRef>
              <c:f>baseTests!$D$71:$D$76</c:f>
              <c:numCache>
                <c:formatCode>0.00</c:formatCode>
                <c:ptCount val="6"/>
                <c:pt idx="0">
                  <c:v>819.66</c:v>
                </c:pt>
                <c:pt idx="1">
                  <c:v>758.63</c:v>
                </c:pt>
                <c:pt idx="2">
                  <c:v>632.19000000000005</c:v>
                </c:pt>
                <c:pt idx="3">
                  <c:v>221.39</c:v>
                </c:pt>
                <c:pt idx="4">
                  <c:v>141.55000000000001</c:v>
                </c:pt>
                <c:pt idx="5">
                  <c:v>-436.19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98-4329-811D-1690969C7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baseTests!$C$77:$C$84</c:f>
              <c:numCache>
                <c:formatCode>0.00</c:formatCode>
                <c:ptCount val="8"/>
                <c:pt idx="0">
                  <c:v>550.04999999999995</c:v>
                </c:pt>
                <c:pt idx="1">
                  <c:v>148.28</c:v>
                </c:pt>
                <c:pt idx="2">
                  <c:v>230.05</c:v>
                </c:pt>
                <c:pt idx="3">
                  <c:v>870.47</c:v>
                </c:pt>
                <c:pt idx="4">
                  <c:v>803.97</c:v>
                </c:pt>
                <c:pt idx="5">
                  <c:v>841.89</c:v>
                </c:pt>
                <c:pt idx="6">
                  <c:v>262.52</c:v>
                </c:pt>
                <c:pt idx="7">
                  <c:v>1213.3</c:v>
                </c:pt>
              </c:numCache>
            </c:numRef>
          </c:xVal>
          <c:yVal>
            <c:numRef>
              <c:f>baseTests!$D$77:$D$84</c:f>
              <c:numCache>
                <c:formatCode>0.00</c:formatCode>
                <c:ptCount val="8"/>
                <c:pt idx="0">
                  <c:v>520.54</c:v>
                </c:pt>
                <c:pt idx="1">
                  <c:v>463.05</c:v>
                </c:pt>
                <c:pt idx="2">
                  <c:v>845.47</c:v>
                </c:pt>
                <c:pt idx="3">
                  <c:v>812.47</c:v>
                </c:pt>
                <c:pt idx="4">
                  <c:v>487.91</c:v>
                </c:pt>
                <c:pt idx="5">
                  <c:v>170.06</c:v>
                </c:pt>
                <c:pt idx="6">
                  <c:v>1.98</c:v>
                </c:pt>
                <c:pt idx="7">
                  <c:v>-900.97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1-42D7-B637-9BDE865D6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544"/>
        <c:axId val="480592792"/>
      </c:scatterChart>
      <c:valAx>
        <c:axId val="48058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92792"/>
        <c:crosses val="autoZero"/>
        <c:crossBetween val="midCat"/>
      </c:valAx>
      <c:valAx>
        <c:axId val="48059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58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200"/>
              <a:t>Vergleich</a:t>
            </a:r>
            <a:r>
              <a:rPr lang="de-DE" sz="1200" baseline="0"/>
              <a:t> zwischen der Base-Abweichung und dem mittleren 3D-Abstand zur Roboter-Koordinate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baseTests!$U$51</c:f>
              <c:strCache>
                <c:ptCount val="1"/>
                <c:pt idx="0">
                  <c:v>Abweichung zur Referenz-Base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881E84A-D079-4F5A-BD40-23CBE92A6F80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EE8-4060-915A-18220B03EF2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B952BF-7CD3-4A25-8CF5-3CF44C7930C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EE8-4060-915A-18220B03EF2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0E405D9-CB77-46A5-84D4-5B1E86B650E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EE8-4060-915A-18220B03EF2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E29164B-FF15-45B5-A8B2-298499E3C28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EE8-4060-915A-18220B03EF2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2A234D-C776-41BF-84A8-7FB41C36547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EE8-4060-915A-18220B03EF2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09F042A-B9CB-427C-A29A-DB9585E8CB6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EE8-4060-915A-18220B03EF2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36D5EF2-9F74-4564-B3E2-F8BAE16D145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EE8-4060-915A-18220B03EF2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0ADF3D3-1431-4A48-935B-623D2D11DA0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EE8-4060-915A-18220B03EF2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44735C0-F216-4D6C-9F07-0CE619FEBAC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EE8-4060-915A-18220B03EF2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A60CC55-60E6-4885-9120-8635A018E09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EE8-4060-915A-18220B03EF2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1281E4D-7B6C-4155-B95E-90E5AEE619E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EE8-4060-915A-18220B03EF2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48B36BB-92FE-4529-8D37-B8603F6B6BB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EE8-4060-915A-18220B03EF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baseTests!$U$7:$U$18</c:f>
              <c:numCache>
                <c:formatCode>0.000</c:formatCode>
                <c:ptCount val="12"/>
                <c:pt idx="0">
                  <c:v>1.2511182997622508</c:v>
                </c:pt>
                <c:pt idx="1">
                  <c:v>0.91154648811792849</c:v>
                </c:pt>
                <c:pt idx="2">
                  <c:v>1.1120148380305572</c:v>
                </c:pt>
                <c:pt idx="3">
                  <c:v>0.35371881487997681</c:v>
                </c:pt>
                <c:pt idx="4">
                  <c:v>0.55434375616585474</c:v>
                </c:pt>
                <c:pt idx="5">
                  <c:v>1.3152935033672919</c:v>
                </c:pt>
                <c:pt idx="6">
                  <c:v>0.86920480900656583</c:v>
                </c:pt>
                <c:pt idx="7">
                  <c:v>0.70958931784527668</c:v>
                </c:pt>
                <c:pt idx="8">
                  <c:v>0.79087103879205356</c:v>
                </c:pt>
                <c:pt idx="9">
                  <c:v>1.6856206572062387</c:v>
                </c:pt>
                <c:pt idx="10">
                  <c:v>0.47298731484055656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baseTests!$T$7:$T$18</c15:f>
                <c15:dlblRangeCache>
                  <c:ptCount val="12"/>
                  <c:pt idx="0">
                    <c:v>1. Kinematische Base</c:v>
                  </c:pt>
                  <c:pt idx="1">
                    <c:v>Kinematische Base klein</c:v>
                  </c:pt>
                  <c:pt idx="2">
                    <c:v>Kinematische Base groß</c:v>
                  </c:pt>
                  <c:pt idx="3">
                    <c:v>Kinematische Base klein</c:v>
                  </c:pt>
                  <c:pt idx="4">
                    <c:v>Kinematische Base groß</c:v>
                  </c:pt>
                  <c:pt idx="5">
                    <c:v>Kinematische Base hinter Roboter</c:v>
                  </c:pt>
                  <c:pt idx="6">
                    <c:v>Gute Verteilung</c:v>
                  </c:pt>
                  <c:pt idx="7">
                    <c:v>Gute Base</c:v>
                  </c:pt>
                  <c:pt idx="8">
                    <c:v>Am Ursprung</c:v>
                  </c:pt>
                  <c:pt idx="9">
                    <c:v>Hinter Roboter</c:v>
                  </c:pt>
                  <c:pt idx="10">
                    <c:v>Vor Roboter</c:v>
                  </c:pt>
                  <c:pt idx="11">
                    <c:v>Referenz-Base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EE8-4060-915A-18220B03EF2E}"/>
            </c:ext>
          </c:extLst>
        </c:ser>
        <c:ser>
          <c:idx val="1"/>
          <c:order val="1"/>
          <c:tx>
            <c:strRef>
              <c:f>baseTests!$U$52</c:f>
              <c:strCache>
                <c:ptCount val="1"/>
                <c:pt idx="0">
                  <c:v>Abweichung zwischen Laser Tracker- und Roboter-Koordinate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baseTests!$V$7:$V$18</c:f>
              <c:numCache>
                <c:formatCode>0.000</c:formatCode>
                <c:ptCount val="12"/>
                <c:pt idx="0">
                  <c:v>0.92200867674876463</c:v>
                </c:pt>
                <c:pt idx="1">
                  <c:v>1.0507589849458769</c:v>
                </c:pt>
                <c:pt idx="2">
                  <c:v>0.9734474818910468</c:v>
                </c:pt>
                <c:pt idx="3">
                  <c:v>1.056048715206287</c:v>
                </c:pt>
                <c:pt idx="4">
                  <c:v>1.2137686661798348</c:v>
                </c:pt>
                <c:pt idx="5">
                  <c:v>1.7564587163443857</c:v>
                </c:pt>
                <c:pt idx="6">
                  <c:v>0.36958685642815442</c:v>
                </c:pt>
                <c:pt idx="7">
                  <c:v>0.37534058607559206</c:v>
                </c:pt>
                <c:pt idx="8">
                  <c:v>0.21124630174279679</c:v>
                </c:pt>
                <c:pt idx="9">
                  <c:v>0.64970292356495851</c:v>
                </c:pt>
                <c:pt idx="10">
                  <c:v>0.37511849979557538</c:v>
                </c:pt>
                <c:pt idx="11">
                  <c:v>0.60543288611688395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8-4060-915A-18220B03EF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9885064"/>
        <c:axId val="449883752"/>
      </c:barChart>
      <c:catAx>
        <c:axId val="449885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449883752"/>
        <c:crosses val="autoZero"/>
        <c:auto val="1"/>
        <c:lblAlgn val="ctr"/>
        <c:lblOffset val="100"/>
        <c:noMultiLvlLbl val="0"/>
      </c:catAx>
      <c:valAx>
        <c:axId val="44988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988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200"/>
              <a:t>Kinematische Base: Vergleich</a:t>
            </a:r>
            <a:r>
              <a:rPr lang="de-DE" sz="1200" baseline="0"/>
              <a:t> zwischen der Base-Abweichung und </a:t>
            </a:r>
          </a:p>
          <a:p>
            <a:pPr>
              <a:defRPr/>
            </a:pPr>
            <a:r>
              <a:rPr lang="de-DE" sz="1200" baseline="0"/>
              <a:t>dem mittleren 3D-Abstand zur Roboter-Koordinate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baseTests!$U$51</c:f>
              <c:strCache>
                <c:ptCount val="1"/>
                <c:pt idx="0">
                  <c:v>Abweichung zur Referenz-Base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B11982F-1F0F-4A2A-A8C4-2D2489200EBE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C35-4E71-8182-10D749E7F9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02114E6-B403-4E9B-9A49-0A68FB937F7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C35-4E71-8182-10D749E7F92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D98F560-108B-43D6-BE2C-A31CD1C629A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C35-4E71-8182-10D749E7F92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863CD22-28AA-4115-ADE2-7FD26048D60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C35-4E71-8182-10D749E7F92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3FBF693-B8D7-463E-8B98-4A7BA425A4D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C35-4E71-8182-10D749E7F92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2396316-FAF1-405C-88EA-5311EA247A9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C35-4E71-8182-10D749E7F9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Lit>
              <c:ptCount val="6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baseTests!$U$7:$U$18</c15:sqref>
                  </c15:fullRef>
                </c:ext>
              </c:extLst>
              <c:f>baseTests!$U$7:$U$12</c:f>
              <c:numCache>
                <c:formatCode>0.000</c:formatCode>
                <c:ptCount val="6"/>
                <c:pt idx="0">
                  <c:v>1.2511182997622508</c:v>
                </c:pt>
                <c:pt idx="1">
                  <c:v>0.91154648811792849</c:v>
                </c:pt>
                <c:pt idx="2">
                  <c:v>1.1120148380305572</c:v>
                </c:pt>
                <c:pt idx="3">
                  <c:v>0.35371881487997681</c:v>
                </c:pt>
                <c:pt idx="4">
                  <c:v>0.55434375616585474</c:v>
                </c:pt>
                <c:pt idx="5">
                  <c:v>1.3152935033672919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baseTests!$T$7:$T$18</c15:f>
                <c15:dlblRangeCache>
                  <c:ptCount val="12"/>
                  <c:pt idx="0">
                    <c:v>1. Kinematische Base</c:v>
                  </c:pt>
                  <c:pt idx="1">
                    <c:v>Kinematische Base klein</c:v>
                  </c:pt>
                  <c:pt idx="2">
                    <c:v>Kinematische Base groß</c:v>
                  </c:pt>
                  <c:pt idx="3">
                    <c:v>Kinematische Base klein</c:v>
                  </c:pt>
                  <c:pt idx="4">
                    <c:v>Kinematische Base groß</c:v>
                  </c:pt>
                  <c:pt idx="5">
                    <c:v>Kinematische Base hinter Roboter</c:v>
                  </c:pt>
                  <c:pt idx="6">
                    <c:v>Gute Verteilung</c:v>
                  </c:pt>
                  <c:pt idx="7">
                    <c:v>Gute Base</c:v>
                  </c:pt>
                  <c:pt idx="8">
                    <c:v>Am Ursprung</c:v>
                  </c:pt>
                  <c:pt idx="9">
                    <c:v>Hinter Roboter</c:v>
                  </c:pt>
                  <c:pt idx="10">
                    <c:v>Vor Roboter</c:v>
                  </c:pt>
                  <c:pt idx="11">
                    <c:v>Referenz-Base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0C35-4E71-8182-10D749E7F92A}"/>
            </c:ext>
          </c:extLst>
        </c:ser>
        <c:ser>
          <c:idx val="1"/>
          <c:order val="1"/>
          <c:tx>
            <c:strRef>
              <c:f>baseTests!$U$52</c:f>
              <c:strCache>
                <c:ptCount val="1"/>
                <c:pt idx="0">
                  <c:v>Abweichung zwischen Laser Tracker- und Roboter-Koordinate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Lit>
              <c:ptCount val="6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baseTests!$V$7:$V$18</c15:sqref>
                  </c15:fullRef>
                </c:ext>
              </c:extLst>
              <c:f>baseTests!$V$7:$V$12</c:f>
              <c:numCache>
                <c:formatCode>0.000</c:formatCode>
                <c:ptCount val="6"/>
                <c:pt idx="0">
                  <c:v>0.92200867674876463</c:v>
                </c:pt>
                <c:pt idx="1">
                  <c:v>1.0507589849458769</c:v>
                </c:pt>
                <c:pt idx="2">
                  <c:v>0.9734474818910468</c:v>
                </c:pt>
                <c:pt idx="3">
                  <c:v>1.056048715206287</c:v>
                </c:pt>
                <c:pt idx="4">
                  <c:v>1.2137686661798348</c:v>
                </c:pt>
                <c:pt idx="5">
                  <c:v>1.7564587163443857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C35-4E71-8182-10D749E7F9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9885064"/>
        <c:axId val="449883752"/>
      </c:barChart>
      <c:catAx>
        <c:axId val="4498850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449883752"/>
        <c:crosses val="autoZero"/>
        <c:auto val="1"/>
        <c:lblAlgn val="ctr"/>
        <c:lblOffset val="100"/>
        <c:noMultiLvlLbl val="0"/>
      </c:catAx>
      <c:valAx>
        <c:axId val="44988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988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200"/>
              <a:t>10-Punkte-Methode: Vergleich</a:t>
            </a:r>
            <a:r>
              <a:rPr lang="de-DE" sz="1200" baseline="0"/>
              <a:t> zwischen der Base-Abweichung und </a:t>
            </a:r>
          </a:p>
          <a:p>
            <a:pPr>
              <a:defRPr/>
            </a:pPr>
            <a:r>
              <a:rPr lang="de-DE" sz="1200" baseline="0"/>
              <a:t>dem mittleren 3D-Abstand zur Roboter-Koordinate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baseTests!$U$51</c:f>
              <c:strCache>
                <c:ptCount val="1"/>
                <c:pt idx="0">
                  <c:v>Abweichung zur Referenz-Base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18AD0B5-F0C7-42A5-8F01-15795D0D4E2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92B-4303-B2B1-450FCD68E61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FE7656A-0EDB-4010-8594-4B65E736834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92B-4303-B2B1-450FCD68E61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AF50EA7-CD4A-4D18-9D50-346FEB8C03F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92B-4303-B2B1-450FCD68E61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977DE05-C3CE-4EEB-BB96-40F9D96FF87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92B-4303-B2B1-450FCD68E61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2F541B2-3B44-438C-8AA8-94E8E3C8423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92B-4303-B2B1-450FCD68E61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6379953-E306-4FEB-A5E3-30A7572D763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92B-4303-B2B1-450FCD68E6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Lit>
              <c:ptCount val="6"/>
              <c:pt idx="0">
                <c:v>7,000</c:v>
              </c:pt>
              <c:pt idx="1">
                <c:v>8,000</c:v>
              </c:pt>
              <c:pt idx="2">
                <c:v>9,000</c:v>
              </c:pt>
              <c:pt idx="3">
                <c:v>10,000</c:v>
              </c:pt>
              <c:pt idx="4">
                <c:v>11,000</c:v>
              </c:pt>
              <c:pt idx="5">
                <c:v>12,000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baseTests!$U$7:$U$18</c15:sqref>
                  </c15:fullRef>
                </c:ext>
              </c:extLst>
              <c:f>baseTests!$U$13:$U$18</c:f>
              <c:numCache>
                <c:formatCode>0.000</c:formatCode>
                <c:ptCount val="6"/>
                <c:pt idx="0">
                  <c:v>0.86920480900656583</c:v>
                </c:pt>
                <c:pt idx="1">
                  <c:v>0.70958931784527668</c:v>
                </c:pt>
                <c:pt idx="2">
                  <c:v>0.79087103879205356</c:v>
                </c:pt>
                <c:pt idx="3">
                  <c:v>1.6856206572062387</c:v>
                </c:pt>
                <c:pt idx="4">
                  <c:v>0.47298731484055656</c:v>
                </c:pt>
                <c:pt idx="5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baseTests!$T$7:$T$18</c15:f>
                <c15:dlblRangeCache>
                  <c:ptCount val="12"/>
                  <c:pt idx="0">
                    <c:v>1. Kinematische Base</c:v>
                  </c:pt>
                  <c:pt idx="1">
                    <c:v>Kinematische Base klein</c:v>
                  </c:pt>
                  <c:pt idx="2">
                    <c:v>Kinematische Base groß</c:v>
                  </c:pt>
                  <c:pt idx="3">
                    <c:v>Kinematische Base klein</c:v>
                  </c:pt>
                  <c:pt idx="4">
                    <c:v>Kinematische Base groß</c:v>
                  </c:pt>
                  <c:pt idx="5">
                    <c:v>Kinematische Base hinter Roboter</c:v>
                  </c:pt>
                  <c:pt idx="6">
                    <c:v>Gute Verteilung</c:v>
                  </c:pt>
                  <c:pt idx="7">
                    <c:v>Gute Base</c:v>
                  </c:pt>
                  <c:pt idx="8">
                    <c:v>Am Ursprung</c:v>
                  </c:pt>
                  <c:pt idx="9">
                    <c:v>Hinter Roboter</c:v>
                  </c:pt>
                  <c:pt idx="10">
                    <c:v>Vor Roboter</c:v>
                  </c:pt>
                  <c:pt idx="11">
                    <c:v>Referenz-Base</c:v>
                  </c:pt>
                </c15:dlblRangeCache>
              </c15:datalabelsRange>
            </c:ext>
            <c:ext xmlns:c15="http://schemas.microsoft.com/office/drawing/2012/chart" uri="{02D57815-91ED-43cb-92C2-25804820EDAC}">
              <c15:categoryFilterExceptions>
                <c15:categoryFilterException>
                  <c15:sqref>baseTests!$U$7</c15:sqref>
                  <c15:dLbl>
                    <c:idx val="-1"/>
                    <c:tx>
                      <c:rich>
                        <a:bodyPr/>
                        <a:lstStyle/>
                        <a:p>
                          <a:fld id="{FBEF4973-C147-44AD-9F26-7EB4A23F8B18}" type="CELLRANGE">
                            <a:rPr lang="en-US"/>
                            <a:pPr/>
                            <a:t>[ZELLBEREICH]</a:t>
                          </a:fld>
                          <a:endParaRPr lang="de-DE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0-9AF5-45F4-A288-E9D34E166ADD}"/>
                      </c:ext>
                    </c:extLst>
                  </c15:dLbl>
                </c15:categoryFilterException>
                <c15:categoryFilterException>
                  <c15:sqref>baseTests!$U$8</c15:sqref>
                  <c15:dLbl>
                    <c:idx val="-1"/>
                    <c:tx>
                      <c:rich>
                        <a:bodyPr/>
                        <a:lstStyle/>
                        <a:p>
                          <a:fld id="{90410594-E523-4BF9-B3DC-6829017A08AD}" type="CELLRANGE">
                            <a:rPr lang="en-US"/>
                            <a:pPr/>
                            <a:t>[ZELLBEREICH]</a:t>
                          </a:fld>
                          <a:endParaRPr lang="de-DE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1-9AF5-45F4-A288-E9D34E166ADD}"/>
                      </c:ext>
                    </c:extLst>
                  </c15:dLbl>
                </c15:categoryFilterException>
                <c15:categoryFilterException>
                  <c15:sqref>baseTests!$U$9</c15:sqref>
                  <c15:dLbl>
                    <c:idx val="-1"/>
                    <c:tx>
                      <c:rich>
                        <a:bodyPr/>
                        <a:lstStyle/>
                        <a:p>
                          <a:fld id="{DCC12937-75D2-4E18-B100-23E653DC73DD}" type="CELLRANGE">
                            <a:rPr lang="en-US"/>
                            <a:pPr/>
                            <a:t>[ZELLBEREICH]</a:t>
                          </a:fld>
                          <a:endParaRPr lang="de-DE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2-9AF5-45F4-A288-E9D34E166ADD}"/>
                      </c:ext>
                    </c:extLst>
                  </c15:dLbl>
                </c15:categoryFilterException>
                <c15:categoryFilterException>
                  <c15:sqref>baseTests!$U$10</c15:sqref>
                  <c15:dLbl>
                    <c:idx val="-1"/>
                    <c:tx>
                      <c:rich>
                        <a:bodyPr/>
                        <a:lstStyle/>
                        <a:p>
                          <a:fld id="{4514A66D-D31C-4324-9877-DDE0481D2A1A}" type="CELLRANGE">
                            <a:rPr lang="en-US"/>
                            <a:pPr/>
                            <a:t>[ZELLBEREICH]</a:t>
                          </a:fld>
                          <a:endParaRPr lang="de-DE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3-9AF5-45F4-A288-E9D34E166ADD}"/>
                      </c:ext>
                    </c:extLst>
                  </c15:dLbl>
                </c15:categoryFilterException>
                <c15:categoryFilterException>
                  <c15:sqref>baseTests!$U$11</c15:sqref>
                  <c15:dLbl>
                    <c:idx val="-1"/>
                    <c:tx>
                      <c:rich>
                        <a:bodyPr/>
                        <a:lstStyle/>
                        <a:p>
                          <a:fld id="{E96E5988-4C71-4DA2-97DE-E0AE1410114C}" type="CELLRANGE">
                            <a:rPr lang="en-US"/>
                            <a:pPr/>
                            <a:t>[ZELLBEREICH]</a:t>
                          </a:fld>
                          <a:endParaRPr lang="de-DE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4-9AF5-45F4-A288-E9D34E166ADD}"/>
                      </c:ext>
                    </c:extLst>
                  </c15:dLbl>
                </c15:categoryFilterException>
                <c15:categoryFilterException>
                  <c15:sqref>baseTests!$U$12</c15:sqref>
                  <c15:dLbl>
                    <c:idx val="-1"/>
                    <c:tx>
                      <c:rich>
                        <a:bodyPr/>
                        <a:lstStyle/>
                        <a:p>
                          <a:fld id="{69D56979-7BA5-45A6-AFB7-865D0619E245}" type="CELLRANGE">
                            <a:rPr lang="en-US"/>
                            <a:pPr/>
                            <a:t>[ZELLBEREICH]</a:t>
                          </a:fld>
                          <a:endParaRPr lang="de-DE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5-9AF5-45F4-A288-E9D34E166ADD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C-492B-4303-B2B1-450FCD68E619}"/>
            </c:ext>
          </c:extLst>
        </c:ser>
        <c:ser>
          <c:idx val="1"/>
          <c:order val="1"/>
          <c:tx>
            <c:strRef>
              <c:f>baseTests!$U$52</c:f>
              <c:strCache>
                <c:ptCount val="1"/>
                <c:pt idx="0">
                  <c:v>Abweichung zwischen Laser Tracker- und Roboter-Koordinate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Lit>
              <c:ptCount val="6"/>
              <c:pt idx="0">
                <c:v>7,000</c:v>
              </c:pt>
              <c:pt idx="1">
                <c:v>8,000</c:v>
              </c:pt>
              <c:pt idx="2">
                <c:v>9,000</c:v>
              </c:pt>
              <c:pt idx="3">
                <c:v>10,000</c:v>
              </c:pt>
              <c:pt idx="4">
                <c:v>11,000</c:v>
              </c:pt>
              <c:pt idx="5">
                <c:v>12,000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baseTests!$V$7:$V$18</c15:sqref>
                  </c15:fullRef>
                </c:ext>
              </c:extLst>
              <c:f>baseTests!$V$13:$V$18</c:f>
              <c:numCache>
                <c:formatCode>0.000</c:formatCode>
                <c:ptCount val="6"/>
                <c:pt idx="0">
                  <c:v>0.36958685642815442</c:v>
                </c:pt>
                <c:pt idx="1">
                  <c:v>0.37534058607559206</c:v>
                </c:pt>
                <c:pt idx="2">
                  <c:v>0.21124630174279679</c:v>
                </c:pt>
                <c:pt idx="3">
                  <c:v>0.64970292356495851</c:v>
                </c:pt>
                <c:pt idx="4">
                  <c:v>0.37511849979557538</c:v>
                </c:pt>
                <c:pt idx="5">
                  <c:v>0.60543288611688395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92B-4303-B2B1-450FCD68E6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9885064"/>
        <c:axId val="449883752"/>
      </c:barChart>
      <c:catAx>
        <c:axId val="4498850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449883752"/>
        <c:crosses val="autoZero"/>
        <c:auto val="1"/>
        <c:lblAlgn val="ctr"/>
        <c:lblOffset val="100"/>
        <c:noMultiLvlLbl val="0"/>
      </c:catAx>
      <c:valAx>
        <c:axId val="44988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988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Radiusabhängigkeit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23904877515310585"/>
                  <c:y val="-1.8448891805191037E-2"/>
                </c:manualLayout>
              </c:layout>
              <c:tx>
                <c:rich>
                  <a:bodyPr/>
                  <a:lstStyle/>
                  <a:p>
                    <a:fld id="{5C0468D4-D68F-412D-B3F0-6684413B737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415-4986-B2CB-EFE47AFAA3E6}"/>
                </c:ext>
              </c:extLst>
            </c:dLbl>
            <c:dLbl>
              <c:idx val="1"/>
              <c:layout>
                <c:manualLayout>
                  <c:x val="-0.13270844269466317"/>
                  <c:y val="0.20840296004666084"/>
                </c:manualLayout>
              </c:layout>
              <c:tx>
                <c:rich>
                  <a:bodyPr/>
                  <a:lstStyle/>
                  <a:p>
                    <a:fld id="{E368F33F-8798-4E18-A8E0-A71672F75E43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415-4986-B2CB-EFE47AFAA3E6}"/>
                </c:ext>
              </c:extLst>
            </c:dLbl>
            <c:dLbl>
              <c:idx val="2"/>
              <c:layout>
                <c:manualLayout>
                  <c:x val="-6.1780839895013227E-2"/>
                  <c:y val="7.8773330417031245E-2"/>
                </c:manualLayout>
              </c:layout>
              <c:tx>
                <c:rich>
                  <a:bodyPr/>
                  <a:lstStyle/>
                  <a:p>
                    <a:fld id="{902A0DA6-CD12-420A-B280-84F709E848F3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7415-4986-B2CB-EFE47AFAA3E6}"/>
                </c:ext>
              </c:extLst>
            </c:dLbl>
            <c:dLbl>
              <c:idx val="3"/>
              <c:layout>
                <c:manualLayout>
                  <c:x val="-6.4387357830271316E-2"/>
                  <c:y val="0.12506962671332741"/>
                </c:manualLayout>
              </c:layout>
              <c:tx>
                <c:rich>
                  <a:bodyPr/>
                  <a:lstStyle/>
                  <a:p>
                    <a:fld id="{D72ED8F3-0F92-4982-8FA9-373DD25E024E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415-4986-B2CB-EFE47AFAA3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(kinemat.!$C$4,kinemat.!$C$5,kinemat.!$C$8,kinemat.!$C$9)</c:f>
              <c:numCache>
                <c:formatCode>General</c:formatCode>
                <c:ptCount val="4"/>
                <c:pt idx="0">
                  <c:v>1290.8</c:v>
                </c:pt>
                <c:pt idx="1">
                  <c:v>1290.8</c:v>
                </c:pt>
                <c:pt idx="2">
                  <c:v>1585.09</c:v>
                </c:pt>
                <c:pt idx="3">
                  <c:v>1662.29</c:v>
                </c:pt>
              </c:numCache>
            </c:numRef>
          </c:xVal>
          <c:yVal>
            <c:numRef>
              <c:f>(kinemat.!$G$4,kinemat.!$G$5,kinemat.!$G$8,kinemat.!$G$9)</c:f>
              <c:numCache>
                <c:formatCode>0.000</c:formatCode>
                <c:ptCount val="4"/>
                <c:pt idx="0">
                  <c:v>0.61754442035460755</c:v>
                </c:pt>
                <c:pt idx="1">
                  <c:v>0.59353417129934327</c:v>
                </c:pt>
                <c:pt idx="2">
                  <c:v>0.56645339123749217</c:v>
                </c:pt>
                <c:pt idx="3">
                  <c:v>0.35433819375782666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(kinemat.!$B$4,kinemat.!$B$5,kinemat.!$B$8,kinemat.!$B$9)</c15:f>
                <c15:dlblRangeCache>
                  <c:ptCount val="4"/>
                  <c:pt idx="0">
                    <c:v>kinemat. Base_klein</c:v>
                  </c:pt>
                  <c:pt idx="1">
                    <c:v>kinemat. Base_groß</c:v>
                  </c:pt>
                  <c:pt idx="2">
                    <c:v>kinematische Base klein</c:v>
                  </c:pt>
                  <c:pt idx="3">
                    <c:v>kinematische Base groß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415-4986-B2CB-EFE47AFAA3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74180712"/>
        <c:axId val="374182024"/>
      </c:scatterChart>
      <c:valAx>
        <c:axId val="374180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4182024"/>
        <c:crosses val="autoZero"/>
        <c:crossBetween val="midCat"/>
      </c:valAx>
      <c:valAx>
        <c:axId val="37418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418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Höhenabhängigkeit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Höhenabhängigkeit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4125734537091291E-2"/>
                  <c:y val="0.18551598733936492"/>
                </c:manualLayout>
              </c:layout>
              <c:tx>
                <c:rich>
                  <a:bodyPr/>
                  <a:lstStyle/>
                  <a:p>
                    <a:fld id="{335EB67A-145A-4EE7-9EB1-AD0C95F6633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B2C-409F-9869-68BF2A4FFED4}"/>
                </c:ext>
              </c:extLst>
            </c:dLbl>
            <c:dLbl>
              <c:idx val="1"/>
              <c:layout>
                <c:manualLayout>
                  <c:x val="-0.31010788312041926"/>
                  <c:y val="-2.0269176358801932E-2"/>
                </c:manualLayout>
              </c:layout>
              <c:tx>
                <c:rich>
                  <a:bodyPr/>
                  <a:lstStyle/>
                  <a:p>
                    <a:fld id="{7E1381F8-63D3-4D0F-892E-115BC671299E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B2C-409F-9869-68BF2A4FFED4}"/>
                </c:ext>
              </c:extLst>
            </c:dLbl>
            <c:dLbl>
              <c:idx val="2"/>
              <c:layout>
                <c:manualLayout>
                  <c:x val="-0.18260865397497342"/>
                  <c:y val="0.1099325326996889"/>
                </c:manualLayout>
              </c:layout>
              <c:tx>
                <c:rich>
                  <a:bodyPr/>
                  <a:lstStyle/>
                  <a:p>
                    <a:fld id="{459C4DF8-A45A-45E2-8111-8A7E43B8499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B2C-409F-9869-68BF2A4FFED4}"/>
                </c:ext>
              </c:extLst>
            </c:dLbl>
            <c:dLbl>
              <c:idx val="3"/>
              <c:layout>
                <c:manualLayout>
                  <c:x val="-3.6927527803827957E-2"/>
                  <c:y val="-0.11665522533993467"/>
                </c:manualLayout>
              </c:layout>
              <c:tx>
                <c:rich>
                  <a:bodyPr/>
                  <a:lstStyle/>
                  <a:p>
                    <a:fld id="{A51EE8B0-F50F-4F27-9DE7-5416382ACB2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B2C-409F-9869-68BF2A4FFED4}"/>
                </c:ext>
              </c:extLst>
            </c:dLbl>
            <c:dLbl>
              <c:idx val="4"/>
              <c:layout>
                <c:manualLayout>
                  <c:x val="-0.2758912984385945"/>
                  <c:y val="4.0471542910631021E-2"/>
                </c:manualLayout>
              </c:layout>
              <c:tx>
                <c:rich>
                  <a:bodyPr/>
                  <a:lstStyle/>
                  <a:p>
                    <a:fld id="{C09884DF-6E61-412B-A97F-CE8B338B255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B2C-409F-9869-68BF2A4FFE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(kinemat.!$F$2,kinemat.!$F$4,kinemat.!$F$5,kinemat.!$F$8,kinemat.!$F$9)</c:f>
              <c:numCache>
                <c:formatCode>General</c:formatCode>
                <c:ptCount val="5"/>
                <c:pt idx="0">
                  <c:v>875</c:v>
                </c:pt>
                <c:pt idx="1">
                  <c:v>780</c:v>
                </c:pt>
                <c:pt idx="2">
                  <c:v>780</c:v>
                </c:pt>
                <c:pt idx="3">
                  <c:v>850</c:v>
                </c:pt>
                <c:pt idx="4">
                  <c:v>535</c:v>
                </c:pt>
              </c:numCache>
            </c:numRef>
          </c:xVal>
          <c:yVal>
            <c:numRef>
              <c:f>(kinemat.!$G$2,kinemat.!$G$4,kinemat.!$G$5,kinemat.!$G$8,kinemat.!$G$9)</c:f>
              <c:numCache>
                <c:formatCode>0.000</c:formatCode>
                <c:ptCount val="5"/>
                <c:pt idx="0">
                  <c:v>0.39453207164380394</c:v>
                </c:pt>
                <c:pt idx="1">
                  <c:v>0.61754442035460755</c:v>
                </c:pt>
                <c:pt idx="2">
                  <c:v>0.59353417129934327</c:v>
                </c:pt>
                <c:pt idx="3">
                  <c:v>0.56645339123749217</c:v>
                </c:pt>
                <c:pt idx="4">
                  <c:v>0.35433819375782666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(kinemat.!$B$4,kinemat.!$B$5,kinemat.!$B$8,kinemat.!$B$9,kinemat.!$B$2)</c15:f>
                <c15:dlblRangeCache>
                  <c:ptCount val="5"/>
                  <c:pt idx="0">
                    <c:v>kinemat. Base_klein</c:v>
                  </c:pt>
                  <c:pt idx="1">
                    <c:v>kinemat. Base_groß</c:v>
                  </c:pt>
                  <c:pt idx="2">
                    <c:v>kinematische Base klein</c:v>
                  </c:pt>
                  <c:pt idx="3">
                    <c:v>kinematische Base groß</c:v>
                  </c:pt>
                  <c:pt idx="4">
                    <c:v>kinBase_falscherOrt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B2C-409F-9869-68BF2A4FFED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74180712"/>
        <c:axId val="374182024"/>
      </c:scatterChart>
      <c:valAx>
        <c:axId val="374180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4182024"/>
        <c:crosses val="autoZero"/>
        <c:crossBetween val="midCat"/>
      </c:valAx>
      <c:valAx>
        <c:axId val="37418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418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3.xml"/><Relationship Id="rId13" Type="http://schemas.openxmlformats.org/officeDocument/2006/relationships/chart" Target="../charts/chart38.xml"/><Relationship Id="rId3" Type="http://schemas.openxmlformats.org/officeDocument/2006/relationships/chart" Target="../charts/chart28.xml"/><Relationship Id="rId7" Type="http://schemas.openxmlformats.org/officeDocument/2006/relationships/chart" Target="../charts/chart32.xml"/><Relationship Id="rId12" Type="http://schemas.openxmlformats.org/officeDocument/2006/relationships/chart" Target="../charts/chart37.xml"/><Relationship Id="rId17" Type="http://schemas.openxmlformats.org/officeDocument/2006/relationships/chart" Target="../charts/chart42.xml"/><Relationship Id="rId2" Type="http://schemas.openxmlformats.org/officeDocument/2006/relationships/chart" Target="../charts/chart27.xml"/><Relationship Id="rId16" Type="http://schemas.openxmlformats.org/officeDocument/2006/relationships/chart" Target="../charts/chart41.xml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11" Type="http://schemas.openxmlformats.org/officeDocument/2006/relationships/chart" Target="../charts/chart36.xml"/><Relationship Id="rId5" Type="http://schemas.openxmlformats.org/officeDocument/2006/relationships/chart" Target="../charts/chart30.xml"/><Relationship Id="rId15" Type="http://schemas.openxmlformats.org/officeDocument/2006/relationships/chart" Target="../charts/chart40.xml"/><Relationship Id="rId10" Type="http://schemas.openxmlformats.org/officeDocument/2006/relationships/chart" Target="../charts/chart35.xml"/><Relationship Id="rId4" Type="http://schemas.openxmlformats.org/officeDocument/2006/relationships/chart" Target="../charts/chart29.xml"/><Relationship Id="rId9" Type="http://schemas.openxmlformats.org/officeDocument/2006/relationships/chart" Target="../charts/chart34.xml"/><Relationship Id="rId14" Type="http://schemas.openxmlformats.org/officeDocument/2006/relationships/chart" Target="../charts/chart39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743369</xdr:colOff>
      <xdr:row>150</xdr:row>
      <xdr:rowOff>123544</xdr:rowOff>
    </xdr:from>
    <xdr:to>
      <xdr:col>10</xdr:col>
      <xdr:colOff>599933</xdr:colOff>
      <xdr:row>165</xdr:row>
      <xdr:rowOff>177332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475130</xdr:colOff>
      <xdr:row>150</xdr:row>
      <xdr:rowOff>40341</xdr:rowOff>
    </xdr:from>
    <xdr:to>
      <xdr:col>27</xdr:col>
      <xdr:colOff>313765</xdr:colOff>
      <xdr:row>165</xdr:row>
      <xdr:rowOff>85164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125016</xdr:colOff>
      <xdr:row>342</xdr:row>
      <xdr:rowOff>35718</xdr:rowOff>
    </xdr:from>
    <xdr:to>
      <xdr:col>9</xdr:col>
      <xdr:colOff>1595437</xdr:colOff>
      <xdr:row>368</xdr:row>
      <xdr:rowOff>91412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DBE2C23-6E38-4DD6-822C-58F323386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578303</xdr:colOff>
      <xdr:row>51</xdr:row>
      <xdr:rowOff>2721</xdr:rowOff>
    </xdr:from>
    <xdr:to>
      <xdr:col>23</xdr:col>
      <xdr:colOff>578303</xdr:colOff>
      <xdr:row>65</xdr:row>
      <xdr:rowOff>65314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59ADFD5-D38F-4C87-B16D-B7E14F8D1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136072</xdr:colOff>
      <xdr:row>25</xdr:row>
      <xdr:rowOff>108858</xdr:rowOff>
    </xdr:from>
    <xdr:to>
      <xdr:col>24</xdr:col>
      <xdr:colOff>136072</xdr:colOff>
      <xdr:row>39</xdr:row>
      <xdr:rowOff>157843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9AF5D18E-07C2-47D2-B338-44E316F657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0.24829</cdr:x>
      <cdr:y>0.46699</cdr:y>
    </cdr:from>
    <cdr:to>
      <cdr:x>0.40758</cdr:x>
      <cdr:y>0.59286</cdr:y>
    </cdr:to>
    <cdr:sp macro="" textlink="">
      <cdr:nvSpPr>
        <cdr:cNvPr id="2" name="Rechteck 1">
          <a:extLst xmlns:a="http://schemas.openxmlformats.org/drawingml/2006/main">
            <a:ext uri="{FF2B5EF4-FFF2-40B4-BE49-F238E27FC236}">
              <a16:creationId xmlns:a16="http://schemas.microsoft.com/office/drawing/2014/main" id="{CA47C27D-72BD-41F7-B541-F68DBF44DA7B}"/>
            </a:ext>
          </a:extLst>
        </cdr:cNvPr>
        <cdr:cNvSpPr/>
      </cdr:nvSpPr>
      <cdr:spPr>
        <a:xfrm xmlns:a="http://schemas.openxmlformats.org/drawingml/2006/main">
          <a:off x="932668" y="2372371"/>
          <a:ext cx="598367" cy="639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38100">
          <a:solidFill>
            <a:schemeClr val="bg1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0.24854</cdr:x>
      <cdr:y>0.50581</cdr:y>
    </cdr:from>
    <cdr:to>
      <cdr:x>0.39461</cdr:x>
      <cdr:y>0.54608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04A61B7-0AEE-4203-A810-62E3D07B672F}"/>
            </a:ext>
          </a:extLst>
        </cdr:cNvPr>
        <cdr:cNvSpPr txBox="1"/>
      </cdr:nvSpPr>
      <cdr:spPr>
        <a:xfrm xmlns:a="http://schemas.openxmlformats.org/drawingml/2006/main">
          <a:off x="933632" y="2569581"/>
          <a:ext cx="548696" cy="204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DE" sz="1100"/>
            <a:t>Tisch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627528</xdr:colOff>
      <xdr:row>18</xdr:row>
      <xdr:rowOff>109562</xdr:rowOff>
    </xdr:from>
    <xdr:to>
      <xdr:col>13</xdr:col>
      <xdr:colOff>268941</xdr:colOff>
      <xdr:row>43</xdr:row>
      <xdr:rowOff>112059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E6D5F6A-FF49-4606-BADC-4B717BB5D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717176</xdr:colOff>
      <xdr:row>4</xdr:row>
      <xdr:rowOff>143180</xdr:rowOff>
    </xdr:from>
    <xdr:to>
      <xdr:col>11</xdr:col>
      <xdr:colOff>358589</xdr:colOff>
      <xdr:row>29</xdr:row>
      <xdr:rowOff>145677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9D68AD1-FD83-48AD-B8C9-C4CBD2134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7</xdr:col>
      <xdr:colOff>246529</xdr:colOff>
      <xdr:row>63</xdr:row>
      <xdr:rowOff>67236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3C422AC-C813-4975-8E6C-322BFE8D97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39</xdr:row>
      <xdr:rowOff>0</xdr:rowOff>
    </xdr:from>
    <xdr:to>
      <xdr:col>16</xdr:col>
      <xdr:colOff>487458</xdr:colOff>
      <xdr:row>59</xdr:row>
      <xdr:rowOff>110941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4070D21-A906-4D2E-9490-7FEA94A12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509867</xdr:colOff>
      <xdr:row>12</xdr:row>
      <xdr:rowOff>57148</xdr:rowOff>
    </xdr:from>
    <xdr:to>
      <xdr:col>15</xdr:col>
      <xdr:colOff>509867</xdr:colOff>
      <xdr:row>26</xdr:row>
      <xdr:rowOff>133348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25C2725-0566-4DB0-B404-0CF1CD951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0.16829</cdr:x>
      <cdr:y>0.57368</cdr:y>
    </cdr:from>
    <cdr:to>
      <cdr:x>0.94402</cdr:x>
      <cdr:y>0.64132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76AFC1D9-5F71-4384-98CA-2C6CCE4C132E}"/>
            </a:ext>
          </a:extLst>
        </cdr:cNvPr>
        <cdr:cNvSpPr txBox="1"/>
      </cdr:nvSpPr>
      <cdr:spPr>
        <a:xfrm xmlns:a="http://schemas.openxmlformats.org/drawingml/2006/main">
          <a:off x="773198" y="2442876"/>
          <a:ext cx="3564022" cy="288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effectLst/>
              <a:latin typeface="+mn-lt"/>
              <a:ea typeface="+mn-ea"/>
              <a:cs typeface="+mn-cs"/>
            </a:rPr>
            <a:t>stark verdreht         mittel verdreht         schwach verdreht</a:t>
          </a:r>
          <a:endParaRPr lang="de-DE">
            <a:effectLst/>
          </a:endParaRPr>
        </a:p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0.1574</cdr:x>
      <cdr:y>0.80404</cdr:y>
    </cdr:from>
    <cdr:to>
      <cdr:x>0.41951</cdr:x>
      <cdr:y>0.87168</cdr:y>
    </cdr:to>
    <cdr:sp macro="" textlink="">
      <cdr:nvSpPr>
        <cdr:cNvPr id="3" name="Textfeld 1">
          <a:extLst xmlns:a="http://schemas.openxmlformats.org/drawingml/2006/main">
            <a:ext uri="{FF2B5EF4-FFF2-40B4-BE49-F238E27FC236}">
              <a16:creationId xmlns:a16="http://schemas.microsoft.com/office/drawing/2014/main" id="{FF77F726-E802-4381-941D-50B0385B864A}"/>
            </a:ext>
          </a:extLst>
        </cdr:cNvPr>
        <cdr:cNvSpPr txBox="1"/>
      </cdr:nvSpPr>
      <cdr:spPr>
        <a:xfrm xmlns:a="http://schemas.openxmlformats.org/drawingml/2006/main">
          <a:off x="723153" y="3423771"/>
          <a:ext cx="1204259" cy="288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900">
              <a:effectLst/>
              <a:latin typeface="+mn-lt"/>
              <a:ea typeface="+mn-ea"/>
              <a:cs typeface="+mn-cs"/>
            </a:rPr>
            <a:t>8</a:t>
          </a:r>
          <a:r>
            <a:rPr lang="de-DE" sz="900" baseline="0">
              <a:effectLst/>
              <a:latin typeface="+mn-lt"/>
              <a:ea typeface="+mn-ea"/>
              <a:cs typeface="+mn-cs"/>
            </a:rPr>
            <a:t> 9 10 11 12 13 14 15</a:t>
          </a:r>
          <a:endParaRPr lang="de-DE" sz="900">
            <a:effectLst/>
          </a:endParaRPr>
        </a:p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0.65496</cdr:x>
      <cdr:y>0.80404</cdr:y>
    </cdr:from>
    <cdr:to>
      <cdr:x>0.91707</cdr:x>
      <cdr:y>0.87168</cdr:y>
    </cdr:to>
    <cdr:sp macro="" textlink="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CF634852-2047-445E-A065-3F1C15A02D5A}"/>
            </a:ext>
          </a:extLst>
        </cdr:cNvPr>
        <cdr:cNvSpPr txBox="1"/>
      </cdr:nvSpPr>
      <cdr:spPr>
        <a:xfrm xmlns:a="http://schemas.openxmlformats.org/drawingml/2006/main">
          <a:off x="3009153" y="3423771"/>
          <a:ext cx="1204259" cy="288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900">
              <a:effectLst/>
              <a:latin typeface="+mn-lt"/>
              <a:ea typeface="+mn-ea"/>
              <a:cs typeface="+mn-cs"/>
            </a:rPr>
            <a:t>8</a:t>
          </a:r>
          <a:r>
            <a:rPr lang="de-DE" sz="900" baseline="0">
              <a:effectLst/>
              <a:latin typeface="+mn-lt"/>
              <a:ea typeface="+mn-ea"/>
              <a:cs typeface="+mn-cs"/>
            </a:rPr>
            <a:t> 9 10 11 12 13 14 15</a:t>
          </a:r>
          <a:endParaRPr lang="de-DE" sz="900">
            <a:effectLst/>
          </a:endParaRPr>
        </a:p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0.40374</cdr:x>
      <cdr:y>0.80404</cdr:y>
    </cdr:from>
    <cdr:to>
      <cdr:x>0.66585</cdr:x>
      <cdr:y>0.87168</cdr:y>
    </cdr:to>
    <cdr:sp macro="" textlink="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CF634852-2047-445E-A065-3F1C15A02D5A}"/>
            </a:ext>
          </a:extLst>
        </cdr:cNvPr>
        <cdr:cNvSpPr txBox="1"/>
      </cdr:nvSpPr>
      <cdr:spPr>
        <a:xfrm xmlns:a="http://schemas.openxmlformats.org/drawingml/2006/main">
          <a:off x="1854947" y="3423771"/>
          <a:ext cx="1204259" cy="288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900">
              <a:effectLst/>
              <a:latin typeface="+mn-lt"/>
              <a:ea typeface="+mn-ea"/>
              <a:cs typeface="+mn-cs"/>
            </a:rPr>
            <a:t>8</a:t>
          </a:r>
          <a:r>
            <a:rPr lang="de-DE" sz="900" baseline="0">
              <a:effectLst/>
              <a:latin typeface="+mn-lt"/>
              <a:ea typeface="+mn-ea"/>
              <a:cs typeface="+mn-cs"/>
            </a:rPr>
            <a:t> 9 10 11 12 13 14 15</a:t>
          </a:r>
          <a:endParaRPr lang="de-DE" sz="900">
            <a:effectLst/>
          </a:endParaRPr>
        </a:p>
        <a:p xmlns:a="http://schemas.openxmlformats.org/drawingml/2006/main">
          <a:endParaRPr lang="de-DE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0.14101</cdr:x>
      <cdr:y>0.85744</cdr:y>
    </cdr:from>
    <cdr:to>
      <cdr:x>0.46201</cdr:x>
      <cdr:y>1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CF634852-2047-445E-A065-3F1C15A02D5A}"/>
            </a:ext>
          </a:extLst>
        </cdr:cNvPr>
        <cdr:cNvSpPr txBox="1"/>
      </cdr:nvSpPr>
      <cdr:spPr>
        <a:xfrm xmlns:a="http://schemas.openxmlformats.org/drawingml/2006/main">
          <a:off x="644711" y="2352117"/>
          <a:ext cx="1467598" cy="3910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050">
              <a:effectLst/>
              <a:latin typeface="+mn-lt"/>
              <a:ea typeface="+mn-ea"/>
              <a:cs typeface="+mn-cs"/>
            </a:rPr>
            <a:t>8 </a:t>
          </a:r>
          <a:r>
            <a:rPr lang="de-DE" sz="1050" baseline="0">
              <a:effectLst/>
              <a:latin typeface="+mn-lt"/>
              <a:ea typeface="+mn-ea"/>
              <a:cs typeface="+mn-cs"/>
            </a:rPr>
            <a:t> 9 10 11 12 13 14 15</a:t>
          </a:r>
          <a:endParaRPr lang="de-DE" sz="1050">
            <a:effectLst/>
          </a:endParaRPr>
        </a:p>
        <a:p xmlns:a="http://schemas.openxmlformats.org/drawingml/2006/main">
          <a:endParaRPr lang="de-DE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6</xdr:col>
      <xdr:colOff>649941</xdr:colOff>
      <xdr:row>63</xdr:row>
      <xdr:rowOff>168088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FEE6DFB-6498-466B-B719-68ADBC331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470647</xdr:colOff>
      <xdr:row>48</xdr:row>
      <xdr:rowOff>78441</xdr:rowOff>
    </xdr:from>
    <xdr:to>
      <xdr:col>16</xdr:col>
      <xdr:colOff>196105</xdr:colOff>
      <xdr:row>68</xdr:row>
      <xdr:rowOff>189382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72F7FE8-4205-4B55-813D-DDA6AECE0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89647</xdr:colOff>
      <xdr:row>16</xdr:row>
      <xdr:rowOff>45943</xdr:rowOff>
    </xdr:from>
    <xdr:to>
      <xdr:col>14</xdr:col>
      <xdr:colOff>689160</xdr:colOff>
      <xdr:row>30</xdr:row>
      <xdr:rowOff>122143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CDA2EA3-7F8A-4112-80AC-DE94C672F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106455</xdr:colOff>
      <xdr:row>31</xdr:row>
      <xdr:rowOff>101972</xdr:rowOff>
    </xdr:from>
    <xdr:to>
      <xdr:col>14</xdr:col>
      <xdr:colOff>683558</xdr:colOff>
      <xdr:row>45</xdr:row>
      <xdr:rowOff>145676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4FBFBA68-CFB9-474E-9148-EAC4E7A8E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0.16097</cdr:x>
      <cdr:y>0.62894</cdr:y>
    </cdr:from>
    <cdr:to>
      <cdr:x>0.9367</cdr:x>
      <cdr:y>0.69658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76AFC1D9-5F71-4384-98CA-2C6CCE4C132E}"/>
            </a:ext>
          </a:extLst>
        </cdr:cNvPr>
        <cdr:cNvSpPr txBox="1"/>
      </cdr:nvSpPr>
      <cdr:spPr>
        <a:xfrm xmlns:a="http://schemas.openxmlformats.org/drawingml/2006/main">
          <a:off x="739567" y="2678179"/>
          <a:ext cx="3564022" cy="288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effectLst/>
              <a:latin typeface="+mn-lt"/>
              <a:ea typeface="+mn-ea"/>
              <a:cs typeface="+mn-cs"/>
            </a:rPr>
            <a:t>stark verdreht         mittel verdreht         schwach verdreht</a:t>
          </a:r>
          <a:endParaRPr lang="de-DE">
            <a:effectLst/>
          </a:endParaRPr>
        </a:p>
        <a:p xmlns:a="http://schemas.openxmlformats.org/drawingml/2006/main">
          <a:endParaRPr lang="de-DE" sz="11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0.13792</cdr:x>
      <cdr:y>0.15332</cdr:y>
    </cdr:from>
    <cdr:to>
      <cdr:x>0.96695</cdr:x>
      <cdr:y>0.26511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5BE5E32C-A273-46A4-BDD8-63C5B6F7A3DC}"/>
            </a:ext>
          </a:extLst>
        </cdr:cNvPr>
        <cdr:cNvSpPr txBox="1"/>
      </cdr:nvSpPr>
      <cdr:spPr>
        <a:xfrm xmlns:a="http://schemas.openxmlformats.org/drawingml/2006/main">
          <a:off x="818375" y="420587"/>
          <a:ext cx="4919060" cy="3066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effectLst/>
              <a:latin typeface="+mn-lt"/>
              <a:ea typeface="+mn-ea"/>
              <a:cs typeface="+mn-cs"/>
            </a:rPr>
            <a:t>stark verdreht         	mittel verdreht         	schwach verdreht</a:t>
          </a:r>
          <a:endParaRPr lang="de-DE">
            <a:effectLst/>
          </a:endParaRPr>
        </a:p>
        <a:p xmlns:a="http://schemas.openxmlformats.org/drawingml/2006/main">
          <a:endParaRPr lang="de-DE" sz="11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0.11855</cdr:x>
      <cdr:y>0.15929</cdr:y>
    </cdr:from>
    <cdr:to>
      <cdr:x>0.95071</cdr:x>
      <cdr:y>0.27243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B17BE4E9-AC04-438C-AEBA-BDEC6E5DBDB7}"/>
            </a:ext>
          </a:extLst>
        </cdr:cNvPr>
        <cdr:cNvSpPr txBox="1"/>
      </cdr:nvSpPr>
      <cdr:spPr>
        <a:xfrm xmlns:a="http://schemas.openxmlformats.org/drawingml/2006/main">
          <a:off x="700741" y="431800"/>
          <a:ext cx="4919010" cy="3066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effectLst/>
              <a:latin typeface="+mn-lt"/>
              <a:ea typeface="+mn-ea"/>
              <a:cs typeface="+mn-cs"/>
            </a:rPr>
            <a:t> stark verdreht         	  mittel verdreht         	schwach verdreht</a:t>
          </a:r>
          <a:endParaRPr lang="de-DE">
            <a:effectLst/>
          </a:endParaRPr>
        </a:p>
        <a:p xmlns:a="http://schemas.openxmlformats.org/drawingml/2006/main">
          <a:endParaRPr lang="de-DE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963706</xdr:colOff>
      <xdr:row>9</xdr:row>
      <xdr:rowOff>0</xdr:rowOff>
    </xdr:from>
    <xdr:to>
      <xdr:col>6</xdr:col>
      <xdr:colOff>0</xdr:colOff>
      <xdr:row>31</xdr:row>
      <xdr:rowOff>67236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BEF777A-B0B3-449E-AC46-11310AAB1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409014</xdr:colOff>
      <xdr:row>34</xdr:row>
      <xdr:rowOff>44823</xdr:rowOff>
    </xdr:from>
    <xdr:to>
      <xdr:col>14</xdr:col>
      <xdr:colOff>571500</xdr:colOff>
      <xdr:row>57</xdr:row>
      <xdr:rowOff>100852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54625EF-5705-41E3-9F4F-DE750AE72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0.09499</cdr:x>
      <cdr:y>0.31489</cdr:y>
    </cdr:from>
    <cdr:to>
      <cdr:x>0.32539</cdr:x>
      <cdr:y>0.49887</cdr:y>
    </cdr:to>
    <cdr:sp macro="" textlink="">
      <cdr:nvSpPr>
        <cdr:cNvPr id="2" name="Rechteck 1">
          <a:extLst xmlns:a="http://schemas.openxmlformats.org/drawingml/2006/main">
            <a:ext uri="{FF2B5EF4-FFF2-40B4-BE49-F238E27FC236}">
              <a16:creationId xmlns:a16="http://schemas.microsoft.com/office/drawing/2014/main" id="{0CA6D982-CCF1-4128-B0E0-2A62E8FE291A}"/>
            </a:ext>
          </a:extLst>
        </cdr:cNvPr>
        <cdr:cNvSpPr/>
      </cdr:nvSpPr>
      <cdr:spPr>
        <a:xfrm xmlns:a="http://schemas.openxmlformats.org/drawingml/2006/main">
          <a:off x="449738" y="1404373"/>
          <a:ext cx="1090826" cy="82054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0.18398</cdr:x>
      <cdr:y>0.32547</cdr:y>
    </cdr:from>
    <cdr:to>
      <cdr:x>0.33436</cdr:x>
      <cdr:y>0.40012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60DA18E-C3D2-4200-8B0A-C7828014CA95}"/>
            </a:ext>
          </a:extLst>
        </cdr:cNvPr>
        <cdr:cNvSpPr txBox="1"/>
      </cdr:nvSpPr>
      <cdr:spPr>
        <a:xfrm xmlns:a="http://schemas.openxmlformats.org/drawingml/2006/main">
          <a:off x="644338" y="1221440"/>
          <a:ext cx="526677" cy="280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DE" sz="1100"/>
            <a:t>Tisch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125170</xdr:colOff>
      <xdr:row>2</xdr:row>
      <xdr:rowOff>119566</xdr:rowOff>
    </xdr:from>
    <xdr:to>
      <xdr:col>9</xdr:col>
      <xdr:colOff>704290</xdr:colOff>
      <xdr:row>17</xdr:row>
      <xdr:rowOff>119566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253365</xdr:colOff>
      <xdr:row>2</xdr:row>
      <xdr:rowOff>121920</xdr:rowOff>
    </xdr:from>
    <xdr:to>
      <xdr:col>16</xdr:col>
      <xdr:colOff>55245</xdr:colOff>
      <xdr:row>17</xdr:row>
      <xdr:rowOff>99060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397807</xdr:colOff>
      <xdr:row>59</xdr:row>
      <xdr:rowOff>68355</xdr:rowOff>
    </xdr:from>
    <xdr:to>
      <xdr:col>17</xdr:col>
      <xdr:colOff>543483</xdr:colOff>
      <xdr:row>73</xdr:row>
      <xdr:rowOff>122143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4652458-C091-41D1-9578-027857926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952501</xdr:colOff>
      <xdr:row>59</xdr:row>
      <xdr:rowOff>0</xdr:rowOff>
    </xdr:from>
    <xdr:to>
      <xdr:col>25</xdr:col>
      <xdr:colOff>168089</xdr:colOff>
      <xdr:row>74</xdr:row>
      <xdr:rowOff>224118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7ACDCDA-C779-42D9-9646-E4B6B4034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364188</xdr:colOff>
      <xdr:row>84</xdr:row>
      <xdr:rowOff>57149</xdr:rowOff>
    </xdr:from>
    <xdr:to>
      <xdr:col>17</xdr:col>
      <xdr:colOff>369793</xdr:colOff>
      <xdr:row>102</xdr:row>
      <xdr:rowOff>22411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6AAFAD0F-4AC7-4F6A-9881-90EEFC7BB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661147</xdr:colOff>
      <xdr:row>27</xdr:row>
      <xdr:rowOff>156883</xdr:rowOff>
    </xdr:from>
    <xdr:to>
      <xdr:col>17</xdr:col>
      <xdr:colOff>806823</xdr:colOff>
      <xdr:row>42</xdr:row>
      <xdr:rowOff>42583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CC5A0FD7-8DB2-45E5-BE10-3D6B94070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1064560</xdr:colOff>
      <xdr:row>8</xdr:row>
      <xdr:rowOff>78442</xdr:rowOff>
    </xdr:from>
    <xdr:to>
      <xdr:col>23</xdr:col>
      <xdr:colOff>403412</xdr:colOff>
      <xdr:row>25</xdr:row>
      <xdr:rowOff>123266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44DEF56-D55A-4FA8-BC93-A97DCDDFB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1221442</xdr:colOff>
      <xdr:row>25</xdr:row>
      <xdr:rowOff>67235</xdr:rowOff>
    </xdr:from>
    <xdr:to>
      <xdr:col>25</xdr:col>
      <xdr:colOff>313764</xdr:colOff>
      <xdr:row>43</xdr:row>
      <xdr:rowOff>20170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64D33E15-2EE5-431C-AB13-46E799B73C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0.06443</cdr:x>
      <cdr:y>0.81618</cdr:y>
    </cdr:from>
    <cdr:to>
      <cdr:x>0.1588</cdr:x>
      <cdr:y>1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DC7205F6-6DF2-4B4E-96E5-4E62AE5277C7}"/>
            </a:ext>
          </a:extLst>
        </cdr:cNvPr>
        <cdr:cNvSpPr txBox="1"/>
      </cdr:nvSpPr>
      <cdr:spPr>
        <a:xfrm xmlns:a="http://schemas.openxmlformats.org/drawingml/2006/main">
          <a:off x="397807" y="2238945"/>
          <a:ext cx="582681" cy="5042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DE" sz="1100"/>
            <a:t>unten</a:t>
          </a:r>
        </a:p>
        <a:p xmlns:a="http://schemas.openxmlformats.org/drawingml/2006/main">
          <a:r>
            <a:rPr lang="de-DE" sz="1100"/>
            <a:t>seitlich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0.08713</cdr:x>
      <cdr:y>0.83459</cdr:y>
    </cdr:from>
    <cdr:to>
      <cdr:x>0.18151</cdr:x>
      <cdr:y>0.99229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8E59B2A0-2C90-429D-B298-797BB1C64073}"/>
            </a:ext>
          </a:extLst>
        </cdr:cNvPr>
        <cdr:cNvSpPr txBox="1"/>
      </cdr:nvSpPr>
      <cdr:spPr>
        <a:xfrm xmlns:a="http://schemas.openxmlformats.org/drawingml/2006/main">
          <a:off x="548706" y="2590592"/>
          <a:ext cx="594377" cy="489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100"/>
            <a:t>unten</a:t>
          </a:r>
        </a:p>
        <a:p xmlns:a="http://schemas.openxmlformats.org/drawingml/2006/main">
          <a:r>
            <a:rPr lang="de-DE" sz="1100"/>
            <a:t>seitlich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252064</xdr:colOff>
      <xdr:row>26</xdr:row>
      <xdr:rowOff>11617</xdr:rowOff>
    </xdr:from>
    <xdr:to>
      <xdr:col>16</xdr:col>
      <xdr:colOff>116159</xdr:colOff>
      <xdr:row>49</xdr:row>
      <xdr:rowOff>46463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E0FD894-4A4A-42DB-9814-EB1AD37C3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466724</xdr:colOff>
      <xdr:row>8</xdr:row>
      <xdr:rowOff>114299</xdr:rowOff>
    </xdr:from>
    <xdr:to>
      <xdr:col>30</xdr:col>
      <xdr:colOff>57150</xdr:colOff>
      <xdr:row>27</xdr:row>
      <xdr:rowOff>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37BF0509-4189-4862-8776-486A40D09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85</xdr:row>
      <xdr:rowOff>185736</xdr:rowOff>
    </xdr:from>
    <xdr:to>
      <xdr:col>14</xdr:col>
      <xdr:colOff>466725</xdr:colOff>
      <xdr:row>109</xdr:row>
      <xdr:rowOff>152399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02ADE497-9112-4B22-8164-14992F805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295276</xdr:colOff>
      <xdr:row>5</xdr:row>
      <xdr:rowOff>0</xdr:rowOff>
    </xdr:from>
    <xdr:to>
      <xdr:col>6</xdr:col>
      <xdr:colOff>276226</xdr:colOff>
      <xdr:row>12</xdr:row>
      <xdr:rowOff>52386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73E0EEB0-CB0E-4880-8AC6-9222A9020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371475</xdr:colOff>
      <xdr:row>11</xdr:row>
      <xdr:rowOff>38100</xdr:rowOff>
    </xdr:from>
    <xdr:to>
      <xdr:col>7</xdr:col>
      <xdr:colOff>352425</xdr:colOff>
      <xdr:row>18</xdr:row>
      <xdr:rowOff>90486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D4F69078-B27E-434F-B714-22828B582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695325</xdr:colOff>
      <xdr:row>17</xdr:row>
      <xdr:rowOff>142875</xdr:rowOff>
    </xdr:from>
    <xdr:to>
      <xdr:col>5</xdr:col>
      <xdr:colOff>676275</xdr:colOff>
      <xdr:row>25</xdr:row>
      <xdr:rowOff>4761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590EE55D-B312-40ED-98D7-EE1BBED07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333375</xdr:colOff>
      <xdr:row>24</xdr:row>
      <xdr:rowOff>133350</xdr:rowOff>
    </xdr:from>
    <xdr:to>
      <xdr:col>7</xdr:col>
      <xdr:colOff>314325</xdr:colOff>
      <xdr:row>32</xdr:row>
      <xdr:rowOff>4761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847DEBDC-269A-40A8-B711-035639154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66675</xdr:colOff>
      <xdr:row>32</xdr:row>
      <xdr:rowOff>0</xdr:rowOff>
    </xdr:from>
    <xdr:to>
      <xdr:col>6</xdr:col>
      <xdr:colOff>47625</xdr:colOff>
      <xdr:row>39</xdr:row>
      <xdr:rowOff>71436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C52F778A-8867-4830-BF3F-9100951B8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295275</xdr:colOff>
      <xdr:row>39</xdr:row>
      <xdr:rowOff>66675</xdr:rowOff>
    </xdr:from>
    <xdr:to>
      <xdr:col>7</xdr:col>
      <xdr:colOff>276225</xdr:colOff>
      <xdr:row>46</xdr:row>
      <xdr:rowOff>119061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CD3A24BF-FCD3-4E9A-BAA7-05E4F8E66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628650</xdr:colOff>
      <xdr:row>45</xdr:row>
      <xdr:rowOff>57150</xdr:rowOff>
    </xdr:from>
    <xdr:to>
      <xdr:col>5</xdr:col>
      <xdr:colOff>609600</xdr:colOff>
      <xdr:row>52</xdr:row>
      <xdr:rowOff>109536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9451E10E-63EA-4F1A-A5E8-B73B77ED8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247650</xdr:colOff>
      <xdr:row>51</xdr:row>
      <xdr:rowOff>114300</xdr:rowOff>
    </xdr:from>
    <xdr:to>
      <xdr:col>7</xdr:col>
      <xdr:colOff>228600</xdr:colOff>
      <xdr:row>58</xdr:row>
      <xdr:rowOff>166686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DD683956-4486-42DD-9C4A-F82D0C8A3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542925</xdr:colOff>
      <xdr:row>57</xdr:row>
      <xdr:rowOff>57150</xdr:rowOff>
    </xdr:from>
    <xdr:to>
      <xdr:col>5</xdr:col>
      <xdr:colOff>523875</xdr:colOff>
      <xdr:row>64</xdr:row>
      <xdr:rowOff>109536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2BD94E81-FF6E-4D74-9A08-859A483A4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219075</xdr:colOff>
      <xdr:row>63</xdr:row>
      <xdr:rowOff>57150</xdr:rowOff>
    </xdr:from>
    <xdr:to>
      <xdr:col>7</xdr:col>
      <xdr:colOff>200025</xdr:colOff>
      <xdr:row>70</xdr:row>
      <xdr:rowOff>109536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14F25432-DEE4-4932-AAE8-128ED20C1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695325</xdr:colOff>
      <xdr:row>70</xdr:row>
      <xdr:rowOff>0</xdr:rowOff>
    </xdr:from>
    <xdr:to>
      <xdr:col>5</xdr:col>
      <xdr:colOff>676275</xdr:colOff>
      <xdr:row>77</xdr:row>
      <xdr:rowOff>61911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080455AB-C4A4-48F6-9499-4D0C3DFDF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219075</xdr:colOff>
      <xdr:row>77</xdr:row>
      <xdr:rowOff>66675</xdr:rowOff>
    </xdr:from>
    <xdr:to>
      <xdr:col>7</xdr:col>
      <xdr:colOff>200025</xdr:colOff>
      <xdr:row>84</xdr:row>
      <xdr:rowOff>128586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97D37D44-0153-4FC9-8D32-E4A204D29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22</xdr:col>
      <xdr:colOff>466725</xdr:colOff>
      <xdr:row>29</xdr:row>
      <xdr:rowOff>0</xdr:rowOff>
    </xdr:from>
    <xdr:to>
      <xdr:col>30</xdr:col>
      <xdr:colOff>57151</xdr:colOff>
      <xdr:row>47</xdr:row>
      <xdr:rowOff>57151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390F8A84-9A8A-4262-BAFD-2EA852D84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22</xdr:col>
      <xdr:colOff>495300</xdr:colOff>
      <xdr:row>49</xdr:row>
      <xdr:rowOff>47625</xdr:rowOff>
    </xdr:from>
    <xdr:to>
      <xdr:col>30</xdr:col>
      <xdr:colOff>85726</xdr:colOff>
      <xdr:row>67</xdr:row>
      <xdr:rowOff>123826</xdr:rowOff>
    </xdr:to>
    <xdr:graphicFrame macro="">
      <xdr:nvGraphicFramePr>
        <xdr:cNvPr id="25" name="Diagramm 24">
          <a:extLst>
            <a:ext uri="{FF2B5EF4-FFF2-40B4-BE49-F238E27FC236}">
              <a16:creationId xmlns:a16="http://schemas.microsoft.com/office/drawing/2014/main" id="{19E809E7-0C65-4B00-829A-85F516AA5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22</xdr:col>
      <xdr:colOff>571500</xdr:colOff>
      <xdr:row>69</xdr:row>
      <xdr:rowOff>142875</xdr:rowOff>
    </xdr:from>
    <xdr:to>
      <xdr:col>30</xdr:col>
      <xdr:colOff>161926</xdr:colOff>
      <xdr:row>88</xdr:row>
      <xdr:rowOff>28576</xdr:rowOff>
    </xdr:to>
    <xdr:graphicFrame macro="">
      <xdr:nvGraphicFramePr>
        <xdr:cNvPr id="26" name="Diagramm 25">
          <a:extLst>
            <a:ext uri="{FF2B5EF4-FFF2-40B4-BE49-F238E27FC236}">
              <a16:creationId xmlns:a16="http://schemas.microsoft.com/office/drawing/2014/main" id="{C1E5E38D-24D4-4A01-B330-26D96DA09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9</xdr:row>
      <xdr:rowOff>109537</xdr:rowOff>
    </xdr:from>
    <xdr:to>
      <xdr:col>4</xdr:col>
      <xdr:colOff>542925</xdr:colOff>
      <xdr:row>23</xdr:row>
      <xdr:rowOff>147637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EFFA1AC5-D682-418D-9934-6C25205A7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1038224</xdr:colOff>
      <xdr:row>10</xdr:row>
      <xdr:rowOff>114300</xdr:rowOff>
    </xdr:from>
    <xdr:to>
      <xdr:col>10</xdr:col>
      <xdr:colOff>428625</xdr:colOff>
      <xdr:row>25</xdr:row>
      <xdr:rowOff>38101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70C0D52C-940C-4C25-8EA4-EDB9C0A4D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3"/>
  <sheetViews>
    <sheetView topLeftCell="A343" zoomScale="70" zoomScaleNormal="70" workbookViewId="0">
      <selection activeCell="E359" sqref="E359"/>
    </sheetView>
  </sheetViews>
  <sheetFormatPr baseColWidth="10" defaultRowHeight="15" x14ac:dyDescent="0.25"/>
  <cols>
    <col min="1" max="1" width="13" customWidth="1"/>
    <col min="3" max="3" width="38.28515625" customWidth="1"/>
    <col min="6" max="6" width="10.7109375" customWidth="1"/>
    <col min="10" max="10" width="37.85546875" customWidth="1"/>
    <col min="11" max="11" width="11.42578125" customWidth="1"/>
    <col min="25" max="25" width="17.140625" customWidth="1"/>
  </cols>
  <sheetData>
    <row r="1" spans="1:28" x14ac:dyDescent="0.25">
      <c r="A1" t="s">
        <v>26</v>
      </c>
      <c r="B1" t="s">
        <v>1</v>
      </c>
      <c r="C1" t="s">
        <v>31</v>
      </c>
      <c r="D1">
        <v>990.41800000000001</v>
      </c>
      <c r="E1">
        <v>1697.6479999999999</v>
      </c>
      <c r="F1">
        <v>40.436999999999998</v>
      </c>
      <c r="G1">
        <v>-134.959</v>
      </c>
      <c r="H1">
        <v>0.123</v>
      </c>
      <c r="I1">
        <v>0.108</v>
      </c>
      <c r="J1" t="s">
        <v>33</v>
      </c>
      <c r="K1">
        <v>245.37</v>
      </c>
      <c r="L1">
        <v>0.28000000000000003</v>
      </c>
      <c r="M1">
        <v>92.396000000000001</v>
      </c>
      <c r="N1">
        <v>0.15</v>
      </c>
      <c r="O1">
        <v>90.01</v>
      </c>
      <c r="P1">
        <v>0.2</v>
      </c>
    </row>
    <row r="2" spans="1:28" x14ac:dyDescent="0.25">
      <c r="C2" t="s">
        <v>150</v>
      </c>
      <c r="J2" t="s">
        <v>32</v>
      </c>
      <c r="K2" s="40">
        <v>226.24100000000001</v>
      </c>
      <c r="L2">
        <v>0.28000000000000003</v>
      </c>
      <c r="M2">
        <v>92.396000000000001</v>
      </c>
      <c r="N2">
        <v>0.15</v>
      </c>
      <c r="O2">
        <v>90.01</v>
      </c>
      <c r="P2">
        <v>0.2</v>
      </c>
    </row>
    <row r="4" spans="1:28" x14ac:dyDescent="0.25">
      <c r="A4" s="44" t="s">
        <v>41</v>
      </c>
      <c r="N4" s="94"/>
      <c r="Y4" s="199" t="s">
        <v>87</v>
      </c>
      <c r="Z4" s="199" t="s">
        <v>88</v>
      </c>
      <c r="AA4" s="199" t="s">
        <v>89</v>
      </c>
      <c r="AB4" s="199" t="s">
        <v>90</v>
      </c>
    </row>
    <row r="5" spans="1:28" ht="15.75" thickBot="1" x14ac:dyDescent="0.3">
      <c r="A5" s="12" t="s">
        <v>0</v>
      </c>
      <c r="B5" s="12" t="s">
        <v>10</v>
      </c>
      <c r="C5" s="12" t="s">
        <v>2</v>
      </c>
      <c r="D5" s="12" t="s">
        <v>11</v>
      </c>
      <c r="E5" s="12"/>
      <c r="F5" s="12"/>
      <c r="G5" s="129" t="s">
        <v>161</v>
      </c>
      <c r="H5" s="12"/>
      <c r="I5" s="12"/>
      <c r="J5" s="12" t="s">
        <v>5</v>
      </c>
      <c r="K5" s="12" t="s">
        <v>12</v>
      </c>
      <c r="L5" s="12"/>
      <c r="M5" s="12"/>
      <c r="O5" s="12"/>
      <c r="P5" s="12"/>
      <c r="Q5" s="12" t="s">
        <v>5</v>
      </c>
      <c r="Y5">
        <v>1</v>
      </c>
      <c r="Z5">
        <v>497.75</v>
      </c>
      <c r="AA5">
        <v>-627.98</v>
      </c>
      <c r="AB5">
        <v>701.56</v>
      </c>
    </row>
    <row r="6" spans="1:28" x14ac:dyDescent="0.25">
      <c r="A6" s="1">
        <v>43287</v>
      </c>
      <c r="B6" s="2">
        <v>1</v>
      </c>
      <c r="C6" s="2" t="s">
        <v>3</v>
      </c>
      <c r="D6" s="21">
        <v>989.98</v>
      </c>
      <c r="E6" s="22">
        <v>1698.32</v>
      </c>
      <c r="F6" s="22">
        <v>40.799999999999997</v>
      </c>
      <c r="G6" s="23">
        <v>-134.88200000000001</v>
      </c>
      <c r="H6" s="22">
        <v>0.17199999999999999</v>
      </c>
      <c r="I6" s="22">
        <v>8.3000000000000004E-2</v>
      </c>
      <c r="J6" s="24">
        <v>0.09</v>
      </c>
      <c r="K6" s="2">
        <v>246.08</v>
      </c>
      <c r="L6" s="2">
        <v>0.31</v>
      </c>
      <c r="M6" s="2">
        <v>92.61</v>
      </c>
      <c r="N6" s="13">
        <v>0</v>
      </c>
      <c r="O6" s="2">
        <v>0</v>
      </c>
      <c r="P6" s="2">
        <v>0</v>
      </c>
      <c r="Q6" s="3">
        <v>0.01</v>
      </c>
      <c r="Y6">
        <v>2</v>
      </c>
      <c r="Z6">
        <v>465.12</v>
      </c>
      <c r="AA6">
        <v>145.75</v>
      </c>
      <c r="AB6">
        <v>559.36</v>
      </c>
    </row>
    <row r="7" spans="1:28" x14ac:dyDescent="0.25">
      <c r="B7" s="5"/>
      <c r="C7" s="5" t="s">
        <v>4</v>
      </c>
      <c r="D7" s="25">
        <f>$D$1-D6</f>
        <v>0.43799999999998818</v>
      </c>
      <c r="E7" s="5">
        <f>$E$1-E6</f>
        <v>-0.67200000000002547</v>
      </c>
      <c r="F7" s="5">
        <f>$F$1-F6</f>
        <v>-0.36299999999999955</v>
      </c>
      <c r="G7" s="4">
        <f>$G$1-G6</f>
        <v>-7.6999999999998181E-2</v>
      </c>
      <c r="H7" s="5">
        <f>$H$1-H6</f>
        <v>-4.8999999999999988E-2</v>
      </c>
      <c r="I7" s="5">
        <f>$I$1-I6</f>
        <v>2.4999999999999994E-2</v>
      </c>
      <c r="J7" s="26"/>
      <c r="K7" s="5">
        <f>$K$1-K6</f>
        <v>-0.71000000000000796</v>
      </c>
      <c r="L7" s="5">
        <f>$L$1-L6</f>
        <v>-2.9999999999999971E-2</v>
      </c>
      <c r="M7" s="5">
        <f>$M$1-M6</f>
        <v>-0.21399999999999864</v>
      </c>
      <c r="N7" s="4">
        <f>$N$1-N6</f>
        <v>0.15</v>
      </c>
      <c r="O7" s="5">
        <f>$O$1-O6</f>
        <v>90.01</v>
      </c>
      <c r="P7" s="5">
        <f>$P$1-P6</f>
        <v>0.2</v>
      </c>
      <c r="Q7" s="6"/>
      <c r="Y7">
        <v>3</v>
      </c>
      <c r="Z7">
        <v>103.97</v>
      </c>
      <c r="AA7">
        <v>746.11</v>
      </c>
      <c r="AB7">
        <v>754.72</v>
      </c>
    </row>
    <row r="8" spans="1:28" x14ac:dyDescent="0.25">
      <c r="A8" s="4"/>
      <c r="B8" s="5"/>
      <c r="C8" s="5"/>
      <c r="D8" s="37">
        <f>SQRT(D7^2+E7^2+F7^2)</f>
        <v>0.88045272445488154</v>
      </c>
      <c r="E8" s="5"/>
      <c r="F8" s="5"/>
      <c r="G8" s="131">
        <f>G7*PI()/180*1000</f>
        <v>-1.3439035240356021</v>
      </c>
      <c r="H8" s="132">
        <f t="shared" ref="H8:I8" si="0">H7*PI()/180*1000</f>
        <v>-0.85521133347722134</v>
      </c>
      <c r="I8" s="132">
        <f t="shared" si="0"/>
        <v>0.43633231299858227</v>
      </c>
      <c r="J8" s="130">
        <f>SQRT(G8^2+H8^2+I8^2)</f>
        <v>1.6516201119476264</v>
      </c>
      <c r="K8" s="37">
        <f>SQRT(K7^2+L7^2+M7^2)</f>
        <v>0.74215631776601532</v>
      </c>
      <c r="L8" s="5"/>
      <c r="M8" s="5"/>
      <c r="N8" s="4"/>
      <c r="O8" s="5"/>
      <c r="P8" s="5"/>
      <c r="Q8" s="6"/>
      <c r="Y8">
        <v>4</v>
      </c>
      <c r="Z8">
        <v>622.25</v>
      </c>
      <c r="AA8">
        <v>639.66999999999996</v>
      </c>
      <c r="AB8">
        <v>528.20000000000005</v>
      </c>
    </row>
    <row r="9" spans="1:28" x14ac:dyDescent="0.25">
      <c r="A9" s="7">
        <f>A6</f>
        <v>43287</v>
      </c>
      <c r="B9" s="5">
        <v>1.1000000000000001</v>
      </c>
      <c r="C9" s="5" t="s">
        <v>6</v>
      </c>
      <c r="D9" s="25">
        <v>989.99</v>
      </c>
      <c r="E9" s="5">
        <v>1698.32</v>
      </c>
      <c r="F9" s="5">
        <v>40.78</v>
      </c>
      <c r="G9" s="4">
        <v>-134.88399999999999</v>
      </c>
      <c r="H9" s="5">
        <v>0.17100000000000001</v>
      </c>
      <c r="I9" s="5">
        <v>8.2000000000000003E-2</v>
      </c>
      <c r="J9" s="26">
        <v>0.1</v>
      </c>
      <c r="K9" s="5">
        <v>246.05</v>
      </c>
      <c r="L9" s="5">
        <v>0.3</v>
      </c>
      <c r="M9" s="5">
        <v>92.65</v>
      </c>
      <c r="N9" s="4">
        <v>0</v>
      </c>
      <c r="O9" s="5">
        <v>0</v>
      </c>
      <c r="P9" s="5">
        <v>0</v>
      </c>
      <c r="Q9" s="6">
        <v>0.02</v>
      </c>
      <c r="Y9">
        <v>5</v>
      </c>
      <c r="Z9">
        <v>276.92</v>
      </c>
      <c r="AA9">
        <v>-436.67</v>
      </c>
      <c r="AB9">
        <v>920.73</v>
      </c>
    </row>
    <row r="10" spans="1:28" x14ac:dyDescent="0.25">
      <c r="A10" s="4"/>
      <c r="B10" s="5"/>
      <c r="C10" s="5" t="s">
        <v>7</v>
      </c>
      <c r="D10" s="25">
        <f>$D$1-D9</f>
        <v>0.42799999999999727</v>
      </c>
      <c r="E10" s="5">
        <f>$E$1-E9</f>
        <v>-0.67200000000002547</v>
      </c>
      <c r="F10" s="5">
        <f>$F$1-F9</f>
        <v>-0.34300000000000352</v>
      </c>
      <c r="G10" s="4">
        <f>$G$1-G9</f>
        <v>-7.5000000000017053E-2</v>
      </c>
      <c r="H10" s="5">
        <f>$H$1-H9</f>
        <v>-4.8000000000000015E-2</v>
      </c>
      <c r="I10" s="5">
        <f>$I$1-I9</f>
        <v>2.5999999999999995E-2</v>
      </c>
      <c r="J10" s="26"/>
      <c r="K10" s="5">
        <f>$K$1-K9</f>
        <v>-0.68000000000000682</v>
      </c>
      <c r="L10" s="5">
        <f>$L$1-L9</f>
        <v>-1.9999999999999962E-2</v>
      </c>
      <c r="M10" s="5">
        <f>$M$1-M9</f>
        <v>-0.25400000000000489</v>
      </c>
      <c r="N10" s="4">
        <f>$N$1-N9</f>
        <v>0.15</v>
      </c>
      <c r="O10" s="5">
        <f>$O$1-O9</f>
        <v>90.01</v>
      </c>
      <c r="P10" s="5">
        <f>$P$1-P9</f>
        <v>0.2</v>
      </c>
      <c r="Q10" s="6"/>
      <c r="Y10">
        <v>6</v>
      </c>
      <c r="Z10">
        <v>614.05999999999995</v>
      </c>
      <c r="AA10">
        <v>914.16</v>
      </c>
      <c r="AB10">
        <v>712.42</v>
      </c>
    </row>
    <row r="11" spans="1:28" x14ac:dyDescent="0.25">
      <c r="A11" s="4"/>
      <c r="B11" s="5"/>
      <c r="C11" s="5"/>
      <c r="D11" s="37">
        <f>SQRT(D10^2+E10^2+F10^2)</f>
        <v>0.86741973692096397</v>
      </c>
      <c r="E11" s="5"/>
      <c r="F11" s="5"/>
      <c r="G11" s="131">
        <f>G10*PI()/180*1000</f>
        <v>-1.3089969389960447</v>
      </c>
      <c r="H11" s="132">
        <f>H10*PI()/180*1000</f>
        <v>-0.83775804095727846</v>
      </c>
      <c r="I11" s="132">
        <f>I10*PI()/180*1000</f>
        <v>0.45378560551852559</v>
      </c>
      <c r="J11" s="130">
        <f>SQRT(G11^2+H11^2+I11^2)</f>
        <v>1.6190222040680624</v>
      </c>
      <c r="K11" s="37">
        <f>SQRT(K10^2+L10^2+M10^2)</f>
        <v>0.72616527044469137</v>
      </c>
      <c r="L11" s="5"/>
      <c r="M11" s="5"/>
      <c r="N11" s="4"/>
      <c r="O11" s="5"/>
      <c r="P11" s="5"/>
      <c r="Q11" s="6"/>
      <c r="Y11">
        <v>7</v>
      </c>
      <c r="Z11">
        <v>317.89999999999998</v>
      </c>
      <c r="AA11">
        <v>611.94000000000005</v>
      </c>
      <c r="AB11">
        <v>1277.48</v>
      </c>
    </row>
    <row r="12" spans="1:28" x14ac:dyDescent="0.25">
      <c r="A12" s="7">
        <f t="shared" ref="A12" si="1">A9</f>
        <v>43287</v>
      </c>
      <c r="B12" s="5">
        <v>1.2</v>
      </c>
      <c r="C12" s="5" t="s">
        <v>6</v>
      </c>
      <c r="D12" s="25">
        <v>989.92</v>
      </c>
      <c r="E12" s="5">
        <v>1698.38</v>
      </c>
      <c r="F12" s="5">
        <v>40.85</v>
      </c>
      <c r="G12" s="4">
        <v>-134.88</v>
      </c>
      <c r="H12" s="5">
        <v>0.17100000000000001</v>
      </c>
      <c r="I12" s="5">
        <v>8.3000000000000004E-2</v>
      </c>
      <c r="J12" s="26">
        <v>7.0000000000000007E-2</v>
      </c>
      <c r="K12" s="5">
        <v>246.09</v>
      </c>
      <c r="L12" s="5">
        <v>0.36</v>
      </c>
      <c r="M12" s="5">
        <v>92.6</v>
      </c>
      <c r="N12" s="4">
        <v>0</v>
      </c>
      <c r="O12" s="5">
        <v>0</v>
      </c>
      <c r="P12" s="5">
        <v>0</v>
      </c>
      <c r="Q12" s="6">
        <v>0.02</v>
      </c>
      <c r="Y12">
        <v>8</v>
      </c>
      <c r="Z12">
        <v>276.01</v>
      </c>
      <c r="AA12">
        <v>256.82</v>
      </c>
      <c r="AB12">
        <v>1124.8800000000001</v>
      </c>
    </row>
    <row r="13" spans="1:28" x14ac:dyDescent="0.25">
      <c r="A13" s="4"/>
      <c r="B13" s="5"/>
      <c r="C13" s="5" t="s">
        <v>8</v>
      </c>
      <c r="D13" s="25">
        <f>$D$1-D12</f>
        <v>0.49800000000004729</v>
      </c>
      <c r="E13" s="5">
        <f>$E$1-E12</f>
        <v>-0.73200000000019827</v>
      </c>
      <c r="F13" s="5">
        <f>$F$1-F12</f>
        <v>-0.41300000000000381</v>
      </c>
      <c r="G13" s="4">
        <f>$G$1-G12</f>
        <v>-7.9000000000007731E-2</v>
      </c>
      <c r="H13" s="5">
        <f>$H$1-H12</f>
        <v>-4.8000000000000015E-2</v>
      </c>
      <c r="I13" s="5">
        <f>$I$1-I12</f>
        <v>2.4999999999999994E-2</v>
      </c>
      <c r="J13" s="26"/>
      <c r="K13" s="5">
        <f>$K$1-K12</f>
        <v>-0.71999999999999886</v>
      </c>
      <c r="L13" s="5">
        <f>$L$1-L12</f>
        <v>-7.999999999999996E-2</v>
      </c>
      <c r="M13" s="5">
        <f>$M$1-M12</f>
        <v>-0.20399999999999352</v>
      </c>
      <c r="N13" s="4">
        <f>$N$1-N12</f>
        <v>0.15</v>
      </c>
      <c r="O13" s="5">
        <f>$O$1-O12</f>
        <v>90.01</v>
      </c>
      <c r="P13" s="5">
        <f>$P$1-P12</f>
        <v>0.2</v>
      </c>
      <c r="Q13" s="6"/>
      <c r="Y13">
        <v>9</v>
      </c>
      <c r="Z13">
        <v>381.7</v>
      </c>
      <c r="AA13">
        <v>12.08</v>
      </c>
      <c r="AB13">
        <v>638.22</v>
      </c>
    </row>
    <row r="14" spans="1:28" x14ac:dyDescent="0.25">
      <c r="A14" s="4"/>
      <c r="B14" s="5"/>
      <c r="C14" s="5"/>
      <c r="D14" s="37">
        <f>SQRT(D13^2+E13^2+F13^2)</f>
        <v>0.97693244392861711</v>
      </c>
      <c r="E14" s="5"/>
      <c r="F14" s="5"/>
      <c r="G14" s="131">
        <f>G13*PI()/180*1000</f>
        <v>-1.3788101090756553</v>
      </c>
      <c r="H14" s="132">
        <f>H13*PI()/180*1000</f>
        <v>-0.83775804095727846</v>
      </c>
      <c r="I14" s="132">
        <f>I13*PI()/180*1000</f>
        <v>0.43633231299858227</v>
      </c>
      <c r="J14" s="130">
        <f>SQRT(G14^2+H14^2+I14^2)</f>
        <v>1.6713293330293972</v>
      </c>
      <c r="K14" s="37">
        <f>SQRT(K13^2+L13^2+M13^2)</f>
        <v>0.75260613869406867</v>
      </c>
      <c r="L14" s="5"/>
      <c r="M14" s="5"/>
      <c r="N14" s="4"/>
      <c r="O14" s="5"/>
      <c r="P14" s="5"/>
      <c r="Q14" s="6"/>
      <c r="Y14">
        <v>10</v>
      </c>
      <c r="Z14">
        <v>590.72</v>
      </c>
      <c r="AA14">
        <v>-961.91</v>
      </c>
      <c r="AB14">
        <v>835.3</v>
      </c>
    </row>
    <row r="15" spans="1:28" x14ac:dyDescent="0.25">
      <c r="A15" s="7">
        <f t="shared" ref="A15" si="2">A12</f>
        <v>43287</v>
      </c>
      <c r="B15" s="5">
        <v>1.3</v>
      </c>
      <c r="C15" s="5" t="s">
        <v>6</v>
      </c>
      <c r="D15" s="25">
        <v>989.98</v>
      </c>
      <c r="E15" s="5">
        <v>1698.22</v>
      </c>
      <c r="F15" s="5">
        <v>40.81</v>
      </c>
      <c r="G15" s="4">
        <v>-134.881</v>
      </c>
      <c r="H15" s="5">
        <v>0.17199999999999999</v>
      </c>
      <c r="I15" s="5">
        <v>8.6999999999999994E-2</v>
      </c>
      <c r="J15" s="26">
        <v>7.0000000000000007E-2</v>
      </c>
      <c r="K15" s="5">
        <v>246.11</v>
      </c>
      <c r="L15" s="5">
        <v>0.32</v>
      </c>
      <c r="M15" s="5">
        <v>92.53</v>
      </c>
      <c r="N15" s="4">
        <v>0</v>
      </c>
      <c r="O15" s="5">
        <v>0</v>
      </c>
      <c r="P15" s="5">
        <v>0</v>
      </c>
      <c r="Q15" s="6">
        <v>0.02</v>
      </c>
      <c r="Y15">
        <v>11</v>
      </c>
      <c r="Z15">
        <v>578.52</v>
      </c>
      <c r="AA15">
        <v>-590.49</v>
      </c>
      <c r="AB15">
        <v>539.59</v>
      </c>
    </row>
    <row r="16" spans="1:28" ht="15.75" thickBot="1" x14ac:dyDescent="0.3">
      <c r="A16" s="9"/>
      <c r="B16" s="9"/>
      <c r="C16" s="9" t="s">
        <v>9</v>
      </c>
      <c r="D16" s="27">
        <f>$D$1-D15</f>
        <v>0.43799999999998818</v>
      </c>
      <c r="E16" s="28">
        <f>$E$1-E15</f>
        <v>-0.57200000000011642</v>
      </c>
      <c r="F16" s="28">
        <f>$F$1-F15</f>
        <v>-0.37300000000000466</v>
      </c>
      <c r="G16" s="29">
        <f>$G$1-G15</f>
        <v>-7.8000000000002956E-2</v>
      </c>
      <c r="H16" s="28">
        <f>$H$1-H15</f>
        <v>-4.8999999999999988E-2</v>
      </c>
      <c r="I16" s="28">
        <f>$I$1-I15</f>
        <v>2.1000000000000005E-2</v>
      </c>
      <c r="J16" s="30"/>
      <c r="K16" s="9">
        <f>$K$1-K15</f>
        <v>-0.74000000000000909</v>
      </c>
      <c r="L16" s="9">
        <f>$L$1-L15</f>
        <v>-3.999999999999998E-2</v>
      </c>
      <c r="M16" s="9">
        <f>$M$1-M15</f>
        <v>-0.13400000000000034</v>
      </c>
      <c r="N16" s="8">
        <f>$N$1-N15</f>
        <v>0.15</v>
      </c>
      <c r="O16" s="9">
        <f>$O$1-O15</f>
        <v>90.01</v>
      </c>
      <c r="P16" s="9">
        <f>$P$1-P15</f>
        <v>0.2</v>
      </c>
      <c r="Q16" s="10"/>
      <c r="Y16">
        <v>12</v>
      </c>
      <c r="Z16">
        <v>822.72</v>
      </c>
      <c r="AA16">
        <v>227.58</v>
      </c>
      <c r="AB16">
        <v>582.80999999999995</v>
      </c>
    </row>
    <row r="17" spans="1:53" ht="15.75" thickBot="1" x14ac:dyDescent="0.3">
      <c r="D17" s="37">
        <f>SQRT(D16^2+E16^2+F16^2)</f>
        <v>0.81126875941338106</v>
      </c>
      <c r="G17" s="131">
        <f>G16*PI()/180*1000</f>
        <v>-1.3613568165556287</v>
      </c>
      <c r="H17" s="132">
        <f>H16*PI()/180*1000</f>
        <v>-0.85521133347722134</v>
      </c>
      <c r="I17" s="132">
        <f>I16*PI()/180*1000</f>
        <v>0.36651914291880933</v>
      </c>
      <c r="J17" s="130">
        <f>SQRT(G17^2+H17^2+I17^2)</f>
        <v>1.6489436282105889</v>
      </c>
      <c r="K17" s="37">
        <f>SQRT(K16^2+L16^2+M16^2)</f>
        <v>0.75309760323613673</v>
      </c>
      <c r="Y17">
        <v>13</v>
      </c>
      <c r="Z17">
        <v>782.44</v>
      </c>
      <c r="AA17">
        <v>1636.35</v>
      </c>
      <c r="AB17">
        <v>1021.47</v>
      </c>
    </row>
    <row r="18" spans="1:53" x14ac:dyDescent="0.25">
      <c r="A18" s="1">
        <v>43287</v>
      </c>
      <c r="B18" s="2">
        <v>2</v>
      </c>
      <c r="C18" s="2" t="s">
        <v>3</v>
      </c>
      <c r="D18" s="21">
        <v>989.91</v>
      </c>
      <c r="E18" s="22">
        <v>1698.25</v>
      </c>
      <c r="F18" s="22">
        <v>40.880000000000003</v>
      </c>
      <c r="G18" s="23">
        <v>-134.88499999999999</v>
      </c>
      <c r="H18" s="22">
        <v>0.17199999999999999</v>
      </c>
      <c r="I18" s="22">
        <v>8.4000000000000005E-2</v>
      </c>
      <c r="J18" s="24">
        <v>0.09</v>
      </c>
      <c r="K18" s="2">
        <v>246.05</v>
      </c>
      <c r="L18" s="2">
        <v>0.31</v>
      </c>
      <c r="M18" s="2">
        <v>92.57</v>
      </c>
      <c r="N18" s="13">
        <v>0</v>
      </c>
      <c r="O18" s="2">
        <v>0</v>
      </c>
      <c r="P18" s="2">
        <v>0</v>
      </c>
      <c r="Q18" s="3">
        <v>0.01</v>
      </c>
      <c r="Y18">
        <v>14</v>
      </c>
      <c r="Z18">
        <v>219.19</v>
      </c>
      <c r="AA18">
        <v>1660.57</v>
      </c>
      <c r="AB18">
        <v>831.74</v>
      </c>
    </row>
    <row r="19" spans="1:53" x14ac:dyDescent="0.25">
      <c r="A19" s="4"/>
      <c r="B19" s="5"/>
      <c r="C19" s="5" t="s">
        <v>4</v>
      </c>
      <c r="D19" s="25">
        <f>$D$1-D18</f>
        <v>0.5080000000000382</v>
      </c>
      <c r="E19" s="5">
        <f>$E$1-E18</f>
        <v>-0.60200000000008913</v>
      </c>
      <c r="F19" s="5">
        <f>$F$1-F18</f>
        <v>-0.44300000000000495</v>
      </c>
      <c r="G19" s="4">
        <f>$G$1-G18</f>
        <v>-7.4000000000012278E-2</v>
      </c>
      <c r="H19" s="5">
        <f>$H$1-H18</f>
        <v>-4.8999999999999988E-2</v>
      </c>
      <c r="I19" s="5">
        <f>$I$1-I18</f>
        <v>2.3999999999999994E-2</v>
      </c>
      <c r="J19" s="26"/>
      <c r="K19" s="5">
        <f>$K$1-K18</f>
        <v>-0.68000000000000682</v>
      </c>
      <c r="L19" s="5">
        <f>$L$1-L18</f>
        <v>-2.9999999999999971E-2</v>
      </c>
      <c r="M19" s="5">
        <f>$M$1-M18</f>
        <v>-0.17399999999999238</v>
      </c>
      <c r="N19" s="4">
        <f>$N$1-N18</f>
        <v>0.15</v>
      </c>
      <c r="O19" s="5">
        <f>$O$1-O18</f>
        <v>90.01</v>
      </c>
      <c r="P19" s="5">
        <f>$P$1-P18</f>
        <v>0.2</v>
      </c>
      <c r="Q19" s="6"/>
      <c r="Y19">
        <v>15</v>
      </c>
      <c r="Z19">
        <v>257.89</v>
      </c>
      <c r="AA19">
        <v>474.97</v>
      </c>
      <c r="AB19">
        <v>292.77999999999997</v>
      </c>
    </row>
    <row r="20" spans="1:53" x14ac:dyDescent="0.25">
      <c r="A20" s="4"/>
      <c r="B20" s="5"/>
      <c r="C20" s="5"/>
      <c r="D20" s="37">
        <f>SQRT(D19^2+E19^2+F19^2)</f>
        <v>0.9037239622806017</v>
      </c>
      <c r="E20" s="5"/>
      <c r="F20" s="5"/>
      <c r="G20" s="131">
        <f>G19*PI()/180*1000</f>
        <v>-1.2915436464760182</v>
      </c>
      <c r="H20" s="132">
        <f>H19*PI()/180*1000</f>
        <v>-0.85521133347722134</v>
      </c>
      <c r="I20" s="132">
        <f>I19*PI()/180*1000</f>
        <v>0.41887902047863895</v>
      </c>
      <c r="J20" s="130">
        <f>SQRT(G20^2+H20^2+I20^2)</f>
        <v>1.6046591692498444</v>
      </c>
      <c r="K20" s="37">
        <f>SQRT(K19^2+L19^2+M19^2)</f>
        <v>0.70254964237412199</v>
      </c>
      <c r="L20" s="5"/>
      <c r="M20" s="5"/>
      <c r="N20" s="4"/>
      <c r="O20" s="5"/>
      <c r="P20" s="5"/>
      <c r="Q20" s="6"/>
      <c r="Y20">
        <v>16</v>
      </c>
      <c r="Z20">
        <v>113.43</v>
      </c>
      <c r="AA20">
        <v>359.72</v>
      </c>
      <c r="AB20">
        <v>797.38</v>
      </c>
    </row>
    <row r="21" spans="1:53" x14ac:dyDescent="0.25">
      <c r="A21" s="11">
        <f>A18</f>
        <v>43287</v>
      </c>
      <c r="B21" s="5">
        <v>2.1</v>
      </c>
      <c r="C21" s="5" t="s">
        <v>6</v>
      </c>
      <c r="D21" s="25">
        <v>989.93</v>
      </c>
      <c r="E21" s="5">
        <v>1698.27</v>
      </c>
      <c r="F21" s="5">
        <v>40.89</v>
      </c>
      <c r="G21" s="4">
        <v>-134.886</v>
      </c>
      <c r="H21" s="5">
        <v>0.17499999999999999</v>
      </c>
      <c r="I21" s="5">
        <v>8.3000000000000004E-2</v>
      </c>
      <c r="J21" s="26">
        <v>0.11</v>
      </c>
      <c r="K21" s="5">
        <v>246.01</v>
      </c>
      <c r="L21" s="5">
        <v>0.3</v>
      </c>
      <c r="M21" s="5">
        <v>92.59</v>
      </c>
      <c r="N21" s="4">
        <v>0</v>
      </c>
      <c r="O21" s="5">
        <v>0</v>
      </c>
      <c r="P21" s="5">
        <v>0</v>
      </c>
      <c r="Q21" s="6">
        <v>0.03</v>
      </c>
      <c r="Y21">
        <v>17</v>
      </c>
      <c r="Z21">
        <v>332.89</v>
      </c>
      <c r="AA21">
        <v>-202.18</v>
      </c>
      <c r="AB21">
        <v>1080.4100000000001</v>
      </c>
    </row>
    <row r="22" spans="1:53" x14ac:dyDescent="0.25">
      <c r="A22" s="4"/>
      <c r="B22" s="5"/>
      <c r="C22" s="5" t="s">
        <v>7</v>
      </c>
      <c r="D22" s="25">
        <f>$D$1-D21</f>
        <v>0.48800000000005639</v>
      </c>
      <c r="E22" s="5">
        <f>$E$1-E21</f>
        <v>-0.62200000000007094</v>
      </c>
      <c r="F22" s="5">
        <f>$F$1-F21</f>
        <v>-0.45300000000000296</v>
      </c>
      <c r="G22" s="4">
        <f>$G$1-G21</f>
        <v>-7.3000000000007503E-2</v>
      </c>
      <c r="H22" s="5">
        <f>$H$1-H21</f>
        <v>-5.1999999999999991E-2</v>
      </c>
      <c r="I22" s="5">
        <f>$I$1-I21</f>
        <v>2.4999999999999994E-2</v>
      </c>
      <c r="J22" s="26"/>
      <c r="K22" s="5">
        <f>$K$1-K21</f>
        <v>-0.63999999999998636</v>
      </c>
      <c r="L22" s="5">
        <f>$L$1-L21</f>
        <v>-1.9999999999999962E-2</v>
      </c>
      <c r="M22" s="5">
        <f>$M$1-M21</f>
        <v>-0.19400000000000261</v>
      </c>
      <c r="N22" s="4">
        <f>$N$1-N21</f>
        <v>0.15</v>
      </c>
      <c r="O22" s="5">
        <f>$O$1-O21</f>
        <v>90.01</v>
      </c>
      <c r="P22" s="5">
        <f>$P$1-P21</f>
        <v>0.2</v>
      </c>
      <c r="Q22" s="6"/>
      <c r="Y22">
        <v>18</v>
      </c>
      <c r="Z22">
        <v>295.75</v>
      </c>
      <c r="AA22">
        <v>299.06</v>
      </c>
      <c r="AB22">
        <v>741.01</v>
      </c>
      <c r="BA22" t="s">
        <v>334</v>
      </c>
    </row>
    <row r="23" spans="1:53" x14ac:dyDescent="0.25">
      <c r="A23" s="4"/>
      <c r="B23" s="5"/>
      <c r="C23" s="5"/>
      <c r="D23" s="37">
        <f>SQRT(D22^2+E22^2+F22^2)</f>
        <v>0.9111734192787595</v>
      </c>
      <c r="E23" s="5"/>
      <c r="F23" s="5"/>
      <c r="G23" s="131">
        <f>G22*PI()/180*1000</f>
        <v>-1.2740903539559916</v>
      </c>
      <c r="H23" s="132">
        <f>H22*PI()/180*1000</f>
        <v>-0.90757121103705118</v>
      </c>
      <c r="I23" s="132">
        <f>I22*PI()/180*1000</f>
        <v>0.43633231299858227</v>
      </c>
      <c r="J23" s="130">
        <f>SQRT(G23^2+H23^2+I23^2)</f>
        <v>1.6240004989265415</v>
      </c>
      <c r="K23" s="37">
        <f>SQRT(K22^2+L22^2+M22^2)</f>
        <v>0.6690560514635403</v>
      </c>
      <c r="L23" s="5"/>
      <c r="M23" s="5"/>
      <c r="N23" s="4"/>
      <c r="O23" s="5"/>
      <c r="P23" s="5"/>
      <c r="Q23" s="6"/>
      <c r="Y23">
        <v>19</v>
      </c>
      <c r="Z23">
        <v>493.25</v>
      </c>
      <c r="AA23">
        <v>719.45</v>
      </c>
      <c r="AB23">
        <v>926.59</v>
      </c>
    </row>
    <row r="24" spans="1:53" x14ac:dyDescent="0.25">
      <c r="A24" s="11">
        <f t="shared" ref="A24" si="3">A21</f>
        <v>43287</v>
      </c>
      <c r="B24" s="5">
        <v>2.2000000000000002</v>
      </c>
      <c r="C24" s="5" t="s">
        <v>6</v>
      </c>
      <c r="D24" s="25">
        <v>989.87</v>
      </c>
      <c r="E24" s="5">
        <v>1698.31</v>
      </c>
      <c r="F24" s="5">
        <v>40.94</v>
      </c>
      <c r="G24" s="4">
        <v>-134.88200000000001</v>
      </c>
      <c r="H24" s="5">
        <v>0.17299999999999999</v>
      </c>
      <c r="I24" s="5">
        <v>8.4000000000000005E-2</v>
      </c>
      <c r="J24" s="26">
        <v>7.0000000000000007E-2</v>
      </c>
      <c r="K24" s="5">
        <v>246.05</v>
      </c>
      <c r="L24" s="5">
        <v>0.37</v>
      </c>
      <c r="M24" s="5">
        <v>92.56</v>
      </c>
      <c r="N24" s="4">
        <v>0</v>
      </c>
      <c r="O24" s="5">
        <v>0</v>
      </c>
      <c r="P24" s="5">
        <v>0</v>
      </c>
      <c r="Q24" s="6">
        <v>0.02</v>
      </c>
      <c r="Y24">
        <v>20</v>
      </c>
      <c r="Z24">
        <v>874.65</v>
      </c>
      <c r="AA24">
        <v>1132.49</v>
      </c>
      <c r="AB24">
        <v>712.81</v>
      </c>
    </row>
    <row r="25" spans="1:53" x14ac:dyDescent="0.25">
      <c r="A25" s="4"/>
      <c r="B25" s="5"/>
      <c r="C25" s="5" t="s">
        <v>8</v>
      </c>
      <c r="D25" s="25">
        <f>$D$1-D24</f>
        <v>0.54800000000000182</v>
      </c>
      <c r="E25" s="5">
        <f>$E$1-E24</f>
        <v>-0.66200000000003456</v>
      </c>
      <c r="F25" s="5">
        <f>$F$1-F24</f>
        <v>-0.50300000000000011</v>
      </c>
      <c r="G25" s="4">
        <f>$G$1-G24</f>
        <v>-7.6999999999998181E-2</v>
      </c>
      <c r="H25" s="5">
        <f>$H$1-H24</f>
        <v>-4.9999999999999989E-2</v>
      </c>
      <c r="I25" s="5">
        <f>$I$1-I24</f>
        <v>2.3999999999999994E-2</v>
      </c>
      <c r="J25" s="26"/>
      <c r="K25" s="5">
        <f>$K$1-K24</f>
        <v>-0.68000000000000682</v>
      </c>
      <c r="L25" s="5">
        <f>$L$1-L24</f>
        <v>-8.9999999999999969E-2</v>
      </c>
      <c r="M25" s="5">
        <f>$M$1-M24</f>
        <v>-0.16400000000000148</v>
      </c>
      <c r="N25" s="4">
        <f>$N$1-N24</f>
        <v>0.15</v>
      </c>
      <c r="O25" s="5">
        <f>$O$1-O24</f>
        <v>90.01</v>
      </c>
      <c r="P25" s="5">
        <f>$P$1-P24</f>
        <v>0.2</v>
      </c>
      <c r="Q25" s="6"/>
      <c r="Y25">
        <v>21</v>
      </c>
      <c r="Z25">
        <v>627.35</v>
      </c>
      <c r="AA25">
        <v>1251.72</v>
      </c>
      <c r="AB25">
        <v>651.91</v>
      </c>
    </row>
    <row r="26" spans="1:53" x14ac:dyDescent="0.25">
      <c r="A26" s="4"/>
      <c r="B26" s="5"/>
      <c r="C26" s="5"/>
      <c r="D26" s="37">
        <f>SQRT(D25^2+E25^2+F25^2)</f>
        <v>0.9957695516534173</v>
      </c>
      <c r="E26" s="5"/>
      <c r="F26" s="5"/>
      <c r="G26" s="131">
        <f>G25*PI()/180*1000</f>
        <v>-1.3439035240356021</v>
      </c>
      <c r="H26" s="132">
        <f>H25*PI()/180*1000</f>
        <v>-0.87266462599716454</v>
      </c>
      <c r="I26" s="132">
        <f>I25*PI()/180*1000</f>
        <v>0.41887902047863895</v>
      </c>
      <c r="J26" s="130">
        <f>SQRT(G26^2+H26^2+I26^2)</f>
        <v>1.656224581745853</v>
      </c>
      <c r="K26" s="37">
        <f>SQRT(K25^2+L25^2+M25^2)</f>
        <v>0.70526307148468348</v>
      </c>
      <c r="L26" s="5"/>
      <c r="M26" s="5"/>
      <c r="N26" s="4"/>
      <c r="O26" s="5"/>
      <c r="P26" s="5"/>
      <c r="Q26" s="6"/>
      <c r="Y26">
        <v>22</v>
      </c>
      <c r="Z26">
        <v>484.84</v>
      </c>
      <c r="AA26">
        <v>691.25</v>
      </c>
      <c r="AB26">
        <v>840.45</v>
      </c>
    </row>
    <row r="27" spans="1:53" x14ac:dyDescent="0.25">
      <c r="A27" s="11">
        <f t="shared" ref="A27" si="4">A24</f>
        <v>43287</v>
      </c>
      <c r="B27" s="5">
        <v>2.2999999999999998</v>
      </c>
      <c r="C27" s="5" t="s">
        <v>6</v>
      </c>
      <c r="D27" s="25">
        <v>989.94</v>
      </c>
      <c r="E27" s="5">
        <v>1698.27</v>
      </c>
      <c r="F27" s="5">
        <v>40.86</v>
      </c>
      <c r="G27" s="4">
        <v>-134.88200000000001</v>
      </c>
      <c r="H27" s="5">
        <v>0.17299999999999999</v>
      </c>
      <c r="I27" s="5">
        <v>8.7999999999999995E-2</v>
      </c>
      <c r="J27" s="26">
        <v>0.08</v>
      </c>
      <c r="K27" s="5">
        <v>246.09</v>
      </c>
      <c r="L27" s="5">
        <v>0.31</v>
      </c>
      <c r="M27" s="5">
        <v>92.56</v>
      </c>
      <c r="N27" s="4">
        <v>0</v>
      </c>
      <c r="O27" s="5">
        <v>0</v>
      </c>
      <c r="P27" s="5">
        <v>0</v>
      </c>
      <c r="Q27" s="6">
        <v>0.02</v>
      </c>
      <c r="Y27">
        <v>23</v>
      </c>
      <c r="Z27">
        <v>179.11</v>
      </c>
      <c r="AA27">
        <v>594.77</v>
      </c>
      <c r="AB27">
        <v>620.37</v>
      </c>
    </row>
    <row r="28" spans="1:53" ht="15.75" thickBot="1" x14ac:dyDescent="0.3">
      <c r="A28" s="9"/>
      <c r="B28" s="9"/>
      <c r="C28" s="9" t="s">
        <v>9</v>
      </c>
      <c r="D28" s="27">
        <f>$D$1-D27</f>
        <v>0.4779999999999518</v>
      </c>
      <c r="E28" s="28">
        <f>$E$1-E27</f>
        <v>-0.62200000000007094</v>
      </c>
      <c r="F28" s="28">
        <f>$F$1-F27</f>
        <v>-0.42300000000000182</v>
      </c>
      <c r="G28" s="29">
        <f>$G$1-G27</f>
        <v>-7.6999999999998181E-2</v>
      </c>
      <c r="H28" s="28">
        <f>$H$1-H27</f>
        <v>-4.9999999999999989E-2</v>
      </c>
      <c r="I28" s="28">
        <f>$I$1-I27</f>
        <v>2.0000000000000004E-2</v>
      </c>
      <c r="J28" s="30"/>
      <c r="K28" s="9">
        <f>$K$1-K27</f>
        <v>-0.71999999999999886</v>
      </c>
      <c r="L28" s="9">
        <f>$L$1-L27</f>
        <v>-2.9999999999999971E-2</v>
      </c>
      <c r="M28" s="9">
        <f>$M$1-M27</f>
        <v>-0.16400000000000148</v>
      </c>
      <c r="N28" s="8">
        <f>$N$1-N27</f>
        <v>0.15</v>
      </c>
      <c r="O28" s="9">
        <f>$O$1-O27</f>
        <v>90.01</v>
      </c>
      <c r="P28" s="9">
        <f>$P$1-P27</f>
        <v>0.2</v>
      </c>
      <c r="Q28" s="10"/>
      <c r="Y28">
        <v>24</v>
      </c>
      <c r="Z28">
        <v>286.95999999999998</v>
      </c>
      <c r="AA28">
        <v>289.33999999999997</v>
      </c>
      <c r="AB28">
        <v>540.83000000000004</v>
      </c>
    </row>
    <row r="29" spans="1:53" ht="15.75" thickBot="1" x14ac:dyDescent="0.3">
      <c r="D29" s="37">
        <f>SQRT(D28^2+E28^2+F28^2)</f>
        <v>0.89123341499297692</v>
      </c>
      <c r="G29" s="131">
        <f>G28*PI()/180*1000</f>
        <v>-1.3439035240356021</v>
      </c>
      <c r="H29" s="132">
        <f>H28*PI()/180*1000</f>
        <v>-0.87266462599716454</v>
      </c>
      <c r="I29" s="132">
        <f>I28*PI()/180*1000</f>
        <v>0.34906585039886595</v>
      </c>
      <c r="J29" s="130">
        <f>SQRT(G29^2+H29^2+I29^2)</f>
        <v>1.6399595114809282</v>
      </c>
      <c r="K29" s="37">
        <f>SQRT(K28^2+L28^2+M28^2)</f>
        <v>0.73905074250689917</v>
      </c>
      <c r="L29" s="20" t="s">
        <v>17</v>
      </c>
      <c r="N29" s="37"/>
      <c r="Y29">
        <v>25</v>
      </c>
      <c r="Z29">
        <v>445.05</v>
      </c>
      <c r="AA29">
        <v>-357.26</v>
      </c>
      <c r="AB29">
        <v>916.36</v>
      </c>
    </row>
    <row r="30" spans="1:53" x14ac:dyDescent="0.25">
      <c r="A30" s="1">
        <v>43287</v>
      </c>
      <c r="B30" s="2">
        <v>3</v>
      </c>
      <c r="C30" s="2" t="s">
        <v>3</v>
      </c>
      <c r="D30" s="21">
        <v>989.98</v>
      </c>
      <c r="E30" s="22">
        <v>1698.32</v>
      </c>
      <c r="F30" s="22">
        <v>40.799999999999997</v>
      </c>
      <c r="G30" s="23">
        <v>-134.88200000000001</v>
      </c>
      <c r="H30" s="22">
        <v>0.17199999999999999</v>
      </c>
      <c r="I30" s="22">
        <v>8.3000000000000004E-2</v>
      </c>
      <c r="J30" s="24">
        <v>0.09</v>
      </c>
      <c r="K30" s="2">
        <v>246.08</v>
      </c>
      <c r="L30" s="2">
        <v>0.31</v>
      </c>
      <c r="M30" s="2">
        <v>92.61</v>
      </c>
      <c r="N30" s="13">
        <v>0</v>
      </c>
      <c r="O30" s="2">
        <v>0</v>
      </c>
      <c r="P30" s="2">
        <v>0</v>
      </c>
      <c r="Q30" s="3">
        <v>0.01</v>
      </c>
      <c r="Y30">
        <v>26</v>
      </c>
      <c r="Z30">
        <v>684.54</v>
      </c>
      <c r="AA30">
        <v>-909.79</v>
      </c>
      <c r="AB30">
        <v>868.03</v>
      </c>
    </row>
    <row r="31" spans="1:53" x14ac:dyDescent="0.25">
      <c r="A31" s="4"/>
      <c r="B31" s="5"/>
      <c r="C31" s="5"/>
      <c r="D31" s="25">
        <f>$D$1-D30</f>
        <v>0.43799999999998818</v>
      </c>
      <c r="E31" s="5">
        <f>$E$1-E30</f>
        <v>-0.67200000000002547</v>
      </c>
      <c r="F31" s="5">
        <f>$F$1-F30</f>
        <v>-0.36299999999999955</v>
      </c>
      <c r="G31" s="4">
        <f>$G$1-G30</f>
        <v>-7.6999999999998181E-2</v>
      </c>
      <c r="H31" s="5">
        <f>$H$1-H30</f>
        <v>-4.8999999999999988E-2</v>
      </c>
      <c r="I31" s="5">
        <f>$I$1-I30</f>
        <v>2.4999999999999994E-2</v>
      </c>
      <c r="J31" s="26"/>
      <c r="K31" s="5">
        <f>$K$1-K30</f>
        <v>-0.71000000000000796</v>
      </c>
      <c r="L31" s="5">
        <f>$L$1-L30</f>
        <v>-2.9999999999999971E-2</v>
      </c>
      <c r="M31" s="5">
        <f>$M$1-M30</f>
        <v>-0.21399999999999864</v>
      </c>
      <c r="N31" s="4">
        <f>$N$1-N30</f>
        <v>0.15</v>
      </c>
      <c r="O31" s="5">
        <f>$O$1-O30</f>
        <v>90.01</v>
      </c>
      <c r="P31" s="5">
        <f>$P$1-P30</f>
        <v>0.2</v>
      </c>
      <c r="Q31" s="6"/>
      <c r="Y31">
        <v>27</v>
      </c>
      <c r="Z31">
        <v>406.46</v>
      </c>
      <c r="AA31">
        <v>543.08000000000004</v>
      </c>
      <c r="AB31">
        <v>620.83000000000004</v>
      </c>
    </row>
    <row r="32" spans="1:53" x14ac:dyDescent="0.25">
      <c r="A32" s="4"/>
      <c r="B32" s="5"/>
      <c r="C32" s="5"/>
      <c r="D32" s="37">
        <f>SQRT(D31^2+E31^2+F31^2)</f>
        <v>0.88045272445488154</v>
      </c>
      <c r="E32" s="5"/>
      <c r="F32" s="5"/>
      <c r="G32" s="131">
        <f>G31*PI()/180*1000</f>
        <v>-1.3439035240356021</v>
      </c>
      <c r="H32" s="132">
        <f>H31*PI()/180*1000</f>
        <v>-0.85521133347722134</v>
      </c>
      <c r="I32" s="132">
        <f>I31*PI()/180*1000</f>
        <v>0.43633231299858227</v>
      </c>
      <c r="J32" s="130">
        <f>SQRT(G32^2+H32^2+I32^2)</f>
        <v>1.6516201119476264</v>
      </c>
      <c r="K32" s="37">
        <f>SQRT(K31^2+L31^2+M31^2)</f>
        <v>0.74215631776601532</v>
      </c>
      <c r="L32" s="5"/>
      <c r="M32" s="5"/>
      <c r="N32" s="4"/>
      <c r="O32" s="5"/>
      <c r="P32" s="5"/>
      <c r="Q32" s="6"/>
      <c r="Y32">
        <v>28</v>
      </c>
      <c r="Z32">
        <v>395.02</v>
      </c>
      <c r="AA32">
        <v>859.57</v>
      </c>
      <c r="AB32">
        <v>970.51</v>
      </c>
    </row>
    <row r="33" spans="1:28" x14ac:dyDescent="0.25">
      <c r="A33" s="11">
        <f>A30</f>
        <v>43287</v>
      </c>
      <c r="B33" s="5">
        <v>3.1</v>
      </c>
      <c r="C33" s="5" t="s">
        <v>13</v>
      </c>
      <c r="D33" s="25">
        <v>989.98</v>
      </c>
      <c r="E33" s="5">
        <v>1698.34</v>
      </c>
      <c r="F33" s="5">
        <v>40.81</v>
      </c>
      <c r="G33" s="4">
        <v>-134.88300000000001</v>
      </c>
      <c r="H33" s="5">
        <v>0.17100000000000001</v>
      </c>
      <c r="I33" s="5">
        <v>8.2000000000000003E-2</v>
      </c>
      <c r="J33" s="26">
        <v>0.09</v>
      </c>
      <c r="K33" s="5">
        <v>246.06</v>
      </c>
      <c r="L33" s="5">
        <v>0.3</v>
      </c>
      <c r="M33" s="5">
        <v>92.63</v>
      </c>
      <c r="N33" s="4">
        <v>0</v>
      </c>
      <c r="O33" s="5">
        <v>0</v>
      </c>
      <c r="P33" s="5">
        <v>0</v>
      </c>
      <c r="Q33" s="6">
        <v>0.02</v>
      </c>
      <c r="Y33">
        <v>29</v>
      </c>
      <c r="Z33">
        <v>1143.58</v>
      </c>
      <c r="AA33">
        <v>1112.29</v>
      </c>
      <c r="AB33">
        <v>787.52</v>
      </c>
    </row>
    <row r="34" spans="1:28" x14ac:dyDescent="0.25">
      <c r="A34" s="4"/>
      <c r="B34" s="5"/>
      <c r="C34" s="5"/>
      <c r="D34" s="25">
        <f>$D$1-D33</f>
        <v>0.43799999999998818</v>
      </c>
      <c r="E34" s="5">
        <f>$E$1-E33</f>
        <v>-0.69200000000000728</v>
      </c>
      <c r="F34" s="5">
        <f>$F$1-F33</f>
        <v>-0.37300000000000466</v>
      </c>
      <c r="G34" s="4">
        <f>$G$1-G33</f>
        <v>-7.5999999999993406E-2</v>
      </c>
      <c r="H34" s="5">
        <f>$H$1-H33</f>
        <v>-4.8000000000000015E-2</v>
      </c>
      <c r="I34" s="5">
        <f>$I$1-I33</f>
        <v>2.5999999999999995E-2</v>
      </c>
      <c r="J34" s="26"/>
      <c r="K34" s="5">
        <f>$K$1-K33</f>
        <v>-0.68999999999999773</v>
      </c>
      <c r="L34" s="5">
        <f>$L$1-L33</f>
        <v>-1.9999999999999962E-2</v>
      </c>
      <c r="M34" s="5">
        <f>$M$1-M33</f>
        <v>-0.23399999999999466</v>
      </c>
      <c r="N34" s="4">
        <f>$N$1-N33</f>
        <v>0.15</v>
      </c>
      <c r="O34" s="5">
        <f>$O$1-O33</f>
        <v>90.01</v>
      </c>
      <c r="P34" s="5">
        <f>$P$1-P33</f>
        <v>0.2</v>
      </c>
      <c r="Q34" s="6"/>
      <c r="Y34">
        <v>30</v>
      </c>
      <c r="Z34">
        <v>728.01</v>
      </c>
      <c r="AA34">
        <v>445.36</v>
      </c>
      <c r="AB34">
        <v>974.25</v>
      </c>
    </row>
    <row r="35" spans="1:28" x14ac:dyDescent="0.25">
      <c r="A35" s="4"/>
      <c r="B35" s="5"/>
      <c r="C35" s="5"/>
      <c r="D35" s="37">
        <f>SQRT(D34^2+E34^2+F34^2)</f>
        <v>0.89990943988826078</v>
      </c>
      <c r="E35" s="5"/>
      <c r="F35" s="5"/>
      <c r="G35" s="131">
        <f>G34*PI()/180*1000</f>
        <v>-1.3264502315155755</v>
      </c>
      <c r="H35" s="132">
        <f>H34*PI()/180*1000</f>
        <v>-0.83775804095727846</v>
      </c>
      <c r="I35" s="132">
        <f>I34*PI()/180*1000</f>
        <v>0.45378560551852559</v>
      </c>
      <c r="J35" s="130">
        <f>SQRT(G35^2+H35^2+I35^2)</f>
        <v>1.6331656767309666</v>
      </c>
      <c r="K35" s="37">
        <f>SQRT(K34^2+L34^2+M34^2)</f>
        <v>0.72887310281008066</v>
      </c>
      <c r="L35" s="5"/>
      <c r="M35" s="5"/>
      <c r="N35" s="4"/>
      <c r="O35" s="5"/>
      <c r="P35" s="5"/>
      <c r="Q35" s="6"/>
      <c r="Y35">
        <v>31</v>
      </c>
      <c r="Z35">
        <v>447.71</v>
      </c>
      <c r="AA35">
        <v>-2.1</v>
      </c>
      <c r="AB35">
        <v>990.81</v>
      </c>
    </row>
    <row r="36" spans="1:28" x14ac:dyDescent="0.25">
      <c r="A36" s="11">
        <f t="shared" ref="A36" si="5">A33</f>
        <v>43287</v>
      </c>
      <c r="B36" s="5">
        <v>3.2</v>
      </c>
      <c r="C36" s="5" t="s">
        <v>14</v>
      </c>
      <c r="D36" s="25">
        <v>990</v>
      </c>
      <c r="E36" s="5">
        <v>1698.3</v>
      </c>
      <c r="F36" s="5">
        <v>40.79</v>
      </c>
      <c r="G36" s="4">
        <v>-134.88399999999999</v>
      </c>
      <c r="H36" s="5">
        <v>0.17100000000000001</v>
      </c>
      <c r="I36" s="5">
        <v>8.2000000000000003E-2</v>
      </c>
      <c r="J36" s="26">
        <v>0.09</v>
      </c>
      <c r="K36" s="5">
        <v>246.05</v>
      </c>
      <c r="L36" s="5">
        <v>0.28999999999999998</v>
      </c>
      <c r="M36" s="5">
        <v>92.63</v>
      </c>
      <c r="N36" s="4">
        <v>0</v>
      </c>
      <c r="O36" s="5">
        <v>0</v>
      </c>
      <c r="P36" s="5">
        <v>0</v>
      </c>
      <c r="Q36" s="6">
        <v>0.02</v>
      </c>
      <c r="Y36">
        <v>32</v>
      </c>
      <c r="Z36">
        <v>569.79999999999995</v>
      </c>
      <c r="AA36">
        <v>274.93</v>
      </c>
      <c r="AB36">
        <v>889.46</v>
      </c>
    </row>
    <row r="37" spans="1:28" x14ac:dyDescent="0.25">
      <c r="A37" s="4"/>
      <c r="B37" s="5"/>
      <c r="C37" s="5"/>
      <c r="D37" s="25">
        <f>$D$1-D36</f>
        <v>0.41800000000000637</v>
      </c>
      <c r="E37" s="5">
        <f>$E$1-E36</f>
        <v>-0.65200000000004366</v>
      </c>
      <c r="F37" s="5">
        <f>$F$1-F36</f>
        <v>-0.35300000000000153</v>
      </c>
      <c r="G37" s="4">
        <f>$G$1-G36</f>
        <v>-7.5000000000017053E-2</v>
      </c>
      <c r="H37" s="5">
        <f>$H$1-H36</f>
        <v>-4.8000000000000015E-2</v>
      </c>
      <c r="I37" s="5">
        <f>$I$1-I36</f>
        <v>2.5999999999999995E-2</v>
      </c>
      <c r="J37" s="26"/>
      <c r="K37" s="5">
        <f>$K$1-K36</f>
        <v>-0.68000000000000682</v>
      </c>
      <c r="L37" s="5">
        <f>$L$1-L36</f>
        <v>-9.9999999999999534E-3</v>
      </c>
      <c r="M37" s="5">
        <f>$M$1-M36</f>
        <v>-0.23399999999999466</v>
      </c>
      <c r="N37" s="4">
        <f>$N$1-N36</f>
        <v>0.15</v>
      </c>
      <c r="O37" s="5">
        <f>$O$1-O36</f>
        <v>90.01</v>
      </c>
      <c r="P37" s="5">
        <f>$P$1-P36</f>
        <v>0.2</v>
      </c>
      <c r="Q37" s="6"/>
      <c r="Y37">
        <v>33</v>
      </c>
      <c r="Z37">
        <v>618.89</v>
      </c>
      <c r="AA37">
        <v>552.19000000000005</v>
      </c>
      <c r="AB37">
        <v>1108.69</v>
      </c>
    </row>
    <row r="38" spans="1:28" x14ac:dyDescent="0.25">
      <c r="A38" s="4"/>
      <c r="B38" s="5"/>
      <c r="C38" s="5"/>
      <c r="D38" s="37">
        <f>SQRT(D37^2+E37^2+F37^2)</f>
        <v>0.85113864910487014</v>
      </c>
      <c r="E38" s="5"/>
      <c r="F38" s="5"/>
      <c r="G38" s="131">
        <f>G37*PI()/180*1000</f>
        <v>-1.3089969389960447</v>
      </c>
      <c r="H38" s="132">
        <f>H37*PI()/180*1000</f>
        <v>-0.83775804095727846</v>
      </c>
      <c r="I38" s="132">
        <f>I37*PI()/180*1000</f>
        <v>0.45378560551852559</v>
      </c>
      <c r="J38" s="130">
        <f>SQRT(G38^2+H38^2+I38^2)</f>
        <v>1.6190222040680624</v>
      </c>
      <c r="K38" s="37">
        <f>SQRT(K37^2+L37^2+M37^2)</f>
        <v>0.7192051167782435</v>
      </c>
      <c r="L38" s="5"/>
      <c r="M38" s="5"/>
      <c r="N38" s="4"/>
      <c r="O38" s="5"/>
      <c r="P38" s="5"/>
      <c r="Q38" s="6"/>
      <c r="Y38">
        <v>34</v>
      </c>
      <c r="Z38">
        <v>680.91</v>
      </c>
      <c r="AA38">
        <v>723.48</v>
      </c>
      <c r="AB38">
        <v>1011.22</v>
      </c>
    </row>
    <row r="39" spans="1:28" x14ac:dyDescent="0.25">
      <c r="A39" s="11">
        <f t="shared" ref="A39" si="6">A36</f>
        <v>43287</v>
      </c>
      <c r="B39" s="5">
        <v>3.3</v>
      </c>
      <c r="C39" s="5" t="s">
        <v>15</v>
      </c>
      <c r="D39" s="25">
        <v>990.06</v>
      </c>
      <c r="E39" s="5">
        <v>1698.36</v>
      </c>
      <c r="F39" s="5">
        <v>40.83</v>
      </c>
      <c r="G39" s="4">
        <v>-134.887</v>
      </c>
      <c r="H39" s="5">
        <v>0.17199999999999999</v>
      </c>
      <c r="I39" s="5">
        <v>8.1000000000000003E-2</v>
      </c>
      <c r="J39" s="26">
        <v>0.09</v>
      </c>
      <c r="K39" s="5">
        <v>245.96</v>
      </c>
      <c r="L39" s="5">
        <v>0.34</v>
      </c>
      <c r="M39" s="5">
        <v>92.67</v>
      </c>
      <c r="N39" s="4">
        <v>0</v>
      </c>
      <c r="O39" s="5">
        <v>0</v>
      </c>
      <c r="P39" s="5">
        <v>0</v>
      </c>
      <c r="Q39" s="6">
        <v>0.02</v>
      </c>
      <c r="Y39">
        <v>35</v>
      </c>
      <c r="Z39">
        <v>817.05</v>
      </c>
      <c r="AA39">
        <v>635.24</v>
      </c>
      <c r="AB39">
        <v>1045.42</v>
      </c>
    </row>
    <row r="40" spans="1:28" x14ac:dyDescent="0.25">
      <c r="A40" s="4"/>
      <c r="B40" s="5"/>
      <c r="C40" s="5" t="s">
        <v>7</v>
      </c>
      <c r="D40" s="25">
        <f>$D$1-D39</f>
        <v>0.35800000000006094</v>
      </c>
      <c r="E40" s="5">
        <f>$E$1-E39</f>
        <v>-0.71199999999998909</v>
      </c>
      <c r="F40" s="5">
        <f>$F$1-F39</f>
        <v>-0.39300000000000068</v>
      </c>
      <c r="G40" s="4">
        <f>$G$1-G39</f>
        <v>-7.2000000000002728E-2</v>
      </c>
      <c r="H40" s="5">
        <f>$H$1-H39</f>
        <v>-4.8999999999999988E-2</v>
      </c>
      <c r="I40" s="5">
        <f>$I$1-I39</f>
        <v>2.6999999999999996E-2</v>
      </c>
      <c r="J40" s="26"/>
      <c r="K40" s="5">
        <f>$K$1-K39</f>
        <v>-0.59000000000000341</v>
      </c>
      <c r="L40" s="5">
        <f>$L$1-L39</f>
        <v>-0.06</v>
      </c>
      <c r="M40" s="5">
        <f>$M$1-M39</f>
        <v>-0.27400000000000091</v>
      </c>
      <c r="N40" s="4">
        <f>$N$1-N39</f>
        <v>0.15</v>
      </c>
      <c r="O40" s="5">
        <f>$O$1-O39</f>
        <v>90.01</v>
      </c>
      <c r="P40" s="5">
        <f>$P$1-P39</f>
        <v>0.2</v>
      </c>
      <c r="Q40" s="6"/>
      <c r="Y40">
        <v>36</v>
      </c>
      <c r="Z40">
        <v>1035.8</v>
      </c>
      <c r="AA40">
        <v>986.07</v>
      </c>
      <c r="AB40">
        <v>806.51</v>
      </c>
    </row>
    <row r="41" spans="1:28" x14ac:dyDescent="0.25">
      <c r="A41" s="4"/>
      <c r="B41" s="5"/>
      <c r="C41" s="5"/>
      <c r="D41" s="37">
        <f>SQRT(D40^2+E40^2+F40^2)</f>
        <v>0.8885701998154274</v>
      </c>
      <c r="E41" s="5"/>
      <c r="F41" s="5"/>
      <c r="G41" s="131">
        <f>G40*PI()/180*1000</f>
        <v>-1.256637061435965</v>
      </c>
      <c r="H41" s="132">
        <f>H40*PI()/180*1000</f>
        <v>-0.85521133347722134</v>
      </c>
      <c r="I41" s="132">
        <f>I40*PI()/180*1000</f>
        <v>0.47123889803846886</v>
      </c>
      <c r="J41" s="130">
        <f>SQRT(G41^2+H41^2+I41^2)</f>
        <v>1.5914110808043327</v>
      </c>
      <c r="K41" s="37">
        <f>SQRT(K40^2+L40^2+M40^2)</f>
        <v>0.65328095028096789</v>
      </c>
      <c r="L41" s="5"/>
      <c r="M41" s="5"/>
      <c r="N41" s="4"/>
      <c r="O41" s="5"/>
      <c r="P41" s="5"/>
      <c r="Q41" s="6"/>
      <c r="Y41">
        <v>37</v>
      </c>
      <c r="Z41">
        <v>742.74</v>
      </c>
      <c r="AA41">
        <v>355.47</v>
      </c>
      <c r="AB41">
        <v>949.49</v>
      </c>
    </row>
    <row r="42" spans="1:28" x14ac:dyDescent="0.25">
      <c r="A42" s="11">
        <f t="shared" ref="A42" si="7">A39</f>
        <v>43287</v>
      </c>
      <c r="B42" s="5">
        <v>3.4</v>
      </c>
      <c r="C42" s="5" t="s">
        <v>16</v>
      </c>
      <c r="D42" s="25">
        <v>990.13</v>
      </c>
      <c r="E42" s="5">
        <v>1698.63</v>
      </c>
      <c r="F42" s="5">
        <v>40.770000000000003</v>
      </c>
      <c r="G42" s="4">
        <v>-134.88200000000001</v>
      </c>
      <c r="H42" s="5">
        <v>0.187</v>
      </c>
      <c r="I42" s="5">
        <v>7.5999999999999998E-2</v>
      </c>
      <c r="J42" s="26">
        <v>0.1</v>
      </c>
      <c r="K42" s="5">
        <v>246.07</v>
      </c>
      <c r="L42" s="5">
        <v>0.4</v>
      </c>
      <c r="M42" s="5">
        <v>92.86</v>
      </c>
      <c r="N42" s="4">
        <v>0</v>
      </c>
      <c r="O42" s="5">
        <v>0</v>
      </c>
      <c r="P42" s="5">
        <v>0</v>
      </c>
      <c r="Q42" s="6">
        <v>0.04</v>
      </c>
      <c r="Y42">
        <v>38</v>
      </c>
      <c r="Z42">
        <v>372.55</v>
      </c>
      <c r="AA42">
        <v>334.39</v>
      </c>
      <c r="AB42">
        <v>1020.43</v>
      </c>
    </row>
    <row r="43" spans="1:28" x14ac:dyDescent="0.25">
      <c r="A43" s="4"/>
      <c r="B43" s="5"/>
      <c r="C43" s="5" t="s">
        <v>7</v>
      </c>
      <c r="D43" s="25">
        <f>$D$1-D42</f>
        <v>0.28800000000001091</v>
      </c>
      <c r="E43" s="5">
        <f>$E$1-E42</f>
        <v>-0.98200000000019827</v>
      </c>
      <c r="F43" s="5">
        <f>$F$1-F42</f>
        <v>-0.33300000000000551</v>
      </c>
      <c r="G43" s="4">
        <f>$G$1-G42</f>
        <v>-7.6999999999998181E-2</v>
      </c>
      <c r="H43" s="5">
        <f>$H$1-H42</f>
        <v>-6.4000000000000001E-2</v>
      </c>
      <c r="I43" s="5">
        <f>$I$1-I42</f>
        <v>3.2000000000000001E-2</v>
      </c>
      <c r="J43" s="26"/>
      <c r="K43" s="5">
        <f>$K$1-K42</f>
        <v>-0.69999999999998863</v>
      </c>
      <c r="L43" s="5">
        <f>$L$1-L42</f>
        <v>-0.12</v>
      </c>
      <c r="M43" s="5">
        <f>$M$1-M42</f>
        <v>-0.46399999999999864</v>
      </c>
      <c r="N43" s="4">
        <f>$N$1-N42</f>
        <v>0.15</v>
      </c>
      <c r="O43" s="5">
        <f>$O$1-O42</f>
        <v>90.01</v>
      </c>
      <c r="P43" s="5">
        <f>$P$1-P42</f>
        <v>0.2</v>
      </c>
      <c r="Q43" s="6"/>
      <c r="Y43">
        <v>39</v>
      </c>
      <c r="Z43">
        <v>109.26</v>
      </c>
      <c r="AA43">
        <v>360.29</v>
      </c>
      <c r="AB43">
        <v>941.78</v>
      </c>
    </row>
    <row r="44" spans="1:28" x14ac:dyDescent="0.25">
      <c r="A44" s="4"/>
      <c r="B44" s="5"/>
      <c r="C44" s="5"/>
      <c r="D44" s="37">
        <f>SQRT(D43^2+E43^2+F43^2)</f>
        <v>1.0761770300468225</v>
      </c>
      <c r="E44" s="5"/>
      <c r="F44" s="5"/>
      <c r="G44" s="131">
        <f>G43*PI()/180*1000</f>
        <v>-1.3439035240356021</v>
      </c>
      <c r="H44" s="132">
        <f>H43*PI()/180*1000</f>
        <v>-1.1170107212763709</v>
      </c>
      <c r="I44" s="132">
        <f>I43*PI()/180*1000</f>
        <v>0.55850536063818546</v>
      </c>
      <c r="J44" s="130">
        <f>SQRT(G44^2+H44^2+I44^2)</f>
        <v>1.8345892922458853</v>
      </c>
      <c r="K44" s="37">
        <f>SQRT(K43^2+L43^2+M43^2)</f>
        <v>0.84834898479339438</v>
      </c>
      <c r="L44" s="5"/>
      <c r="M44" s="5"/>
      <c r="N44" s="4"/>
      <c r="O44" s="5"/>
      <c r="P44" s="5"/>
      <c r="Q44" s="6"/>
      <c r="S44">
        <v>497.75</v>
      </c>
      <c r="T44">
        <v>-627.98</v>
      </c>
      <c r="U44">
        <v>701.56</v>
      </c>
      <c r="Y44">
        <v>40</v>
      </c>
      <c r="Z44">
        <v>192.48</v>
      </c>
      <c r="AA44">
        <v>-175.72</v>
      </c>
      <c r="AB44">
        <v>886.37</v>
      </c>
    </row>
    <row r="45" spans="1:28" x14ac:dyDescent="0.25">
      <c r="A45" s="11">
        <f t="shared" ref="A45" si="8">A42</f>
        <v>43287</v>
      </c>
      <c r="B45" s="14">
        <v>3.5</v>
      </c>
      <c r="C45" s="14" t="s">
        <v>16</v>
      </c>
      <c r="D45" s="31">
        <v>990.27</v>
      </c>
      <c r="E45" s="14">
        <v>1697.63</v>
      </c>
      <c r="F45" s="14">
        <v>40.450000000000003</v>
      </c>
      <c r="G45" s="15">
        <v>-134.904</v>
      </c>
      <c r="H45" s="14">
        <v>0.152</v>
      </c>
      <c r="I45" s="14">
        <v>0.09</v>
      </c>
      <c r="J45" s="32">
        <v>0.04</v>
      </c>
      <c r="K45" s="14">
        <v>246.2</v>
      </c>
      <c r="L45" s="14">
        <v>-0.06</v>
      </c>
      <c r="M45" s="14">
        <v>92.64</v>
      </c>
      <c r="N45" s="15">
        <v>0</v>
      </c>
      <c r="O45" s="14">
        <v>0</v>
      </c>
      <c r="P45" s="14">
        <v>0</v>
      </c>
      <c r="Q45" s="16">
        <v>0.01</v>
      </c>
      <c r="S45">
        <v>465.12</v>
      </c>
      <c r="T45">
        <v>145.75</v>
      </c>
      <c r="U45">
        <v>559.36</v>
      </c>
      <c r="Y45">
        <v>41</v>
      </c>
      <c r="Z45">
        <v>519.67999999999995</v>
      </c>
      <c r="AA45">
        <v>-314.72000000000003</v>
      </c>
      <c r="AB45">
        <v>691.29</v>
      </c>
    </row>
    <row r="46" spans="1:28" x14ac:dyDescent="0.25">
      <c r="A46" s="4"/>
      <c r="B46" s="14"/>
      <c r="C46" s="14" t="s">
        <v>9</v>
      </c>
      <c r="D46" s="31">
        <f>$D$1-D45</f>
        <v>0.14800000000002456</v>
      </c>
      <c r="E46" s="14">
        <f>$E$1-E45</f>
        <v>1.799999999980173E-2</v>
      </c>
      <c r="F46" s="14">
        <f>$F$1-F45</f>
        <v>-1.300000000000523E-2</v>
      </c>
      <c r="G46" s="15">
        <f>$G$1-G45</f>
        <v>-5.5000000000006821E-2</v>
      </c>
      <c r="H46" s="14">
        <f>$H$1-H45</f>
        <v>-2.8999999999999998E-2</v>
      </c>
      <c r="I46" s="14">
        <f>$I$1-I45</f>
        <v>1.8000000000000002E-2</v>
      </c>
      <c r="J46" s="32"/>
      <c r="K46" s="14">
        <f>$K$1-K45</f>
        <v>-0.82999999999998408</v>
      </c>
      <c r="L46" s="14">
        <f>$L$1-L45</f>
        <v>0.34</v>
      </c>
      <c r="M46" s="14">
        <f>$M$1-M45</f>
        <v>-0.24399999999999977</v>
      </c>
      <c r="N46" s="15">
        <f>$N$1-N45</f>
        <v>0.15</v>
      </c>
      <c r="O46" s="14">
        <f>$O$1-O45</f>
        <v>90.01</v>
      </c>
      <c r="P46" s="14">
        <f>$P$1-P45</f>
        <v>0.2</v>
      </c>
      <c r="Q46" s="16"/>
      <c r="S46">
        <v>103.97</v>
      </c>
      <c r="T46">
        <v>746.11</v>
      </c>
      <c r="U46">
        <v>754.72</v>
      </c>
      <c r="Y46">
        <v>42</v>
      </c>
      <c r="Z46">
        <v>565.80999999999995</v>
      </c>
      <c r="AA46">
        <v>-563.01</v>
      </c>
      <c r="AB46">
        <v>672.36</v>
      </c>
    </row>
    <row r="47" spans="1:28" x14ac:dyDescent="0.25">
      <c r="A47" s="4"/>
      <c r="B47" s="14"/>
      <c r="C47" s="14"/>
      <c r="D47" s="37">
        <f>SQRT(D46^2+E46^2+F46^2)</f>
        <v>0.14965627283879637</v>
      </c>
      <c r="E47" s="222" t="s">
        <v>446</v>
      </c>
      <c r="F47" s="14"/>
      <c r="G47" s="131">
        <f>G46*PI()/180*1000</f>
        <v>-0.95993108859700016</v>
      </c>
      <c r="H47" s="132">
        <f>H46*PI()/180*1000</f>
        <v>-0.50614548307835561</v>
      </c>
      <c r="I47" s="132">
        <f>I46*PI()/180*1000</f>
        <v>0.31415926535897937</v>
      </c>
      <c r="J47" s="130">
        <f>SQRT(G47^2+H47^2+I47^2)</f>
        <v>1.1297552783264779</v>
      </c>
      <c r="K47" s="37">
        <f>SQRT(K46^2+L46^2+M46^2)</f>
        <v>0.92953536780478319</v>
      </c>
      <c r="L47" s="14"/>
      <c r="M47" s="14"/>
      <c r="N47" s="15"/>
      <c r="O47" s="14"/>
      <c r="P47" s="14"/>
      <c r="Q47" s="16"/>
      <c r="S47">
        <v>622.25</v>
      </c>
      <c r="T47">
        <v>639.66999999999996</v>
      </c>
      <c r="U47">
        <v>528.20000000000005</v>
      </c>
      <c r="Y47">
        <v>43</v>
      </c>
      <c r="Z47">
        <v>688.25</v>
      </c>
      <c r="AA47">
        <v>-621.46</v>
      </c>
      <c r="AB47">
        <v>941.72</v>
      </c>
    </row>
    <row r="48" spans="1:28" x14ac:dyDescent="0.25">
      <c r="A48" s="11">
        <f t="shared" ref="A48" si="9">A45</f>
        <v>43287</v>
      </c>
      <c r="B48" s="14">
        <v>3.6</v>
      </c>
      <c r="C48" s="14" t="s">
        <v>15</v>
      </c>
      <c r="D48" s="31">
        <v>990.01</v>
      </c>
      <c r="E48" s="14">
        <v>1698.2</v>
      </c>
      <c r="F48" s="14">
        <v>40.840000000000003</v>
      </c>
      <c r="G48" s="15">
        <v>-134.88300000000001</v>
      </c>
      <c r="H48" s="14">
        <v>0.17299999999999999</v>
      </c>
      <c r="I48" s="14">
        <v>8.6999999999999994E-2</v>
      </c>
      <c r="J48" s="32">
        <v>0.08</v>
      </c>
      <c r="K48" s="14">
        <v>246.08</v>
      </c>
      <c r="L48" s="14">
        <v>0.33</v>
      </c>
      <c r="M48" s="14">
        <v>92.53</v>
      </c>
      <c r="N48" s="15">
        <v>0</v>
      </c>
      <c r="O48" s="14">
        <v>0</v>
      </c>
      <c r="P48" s="14">
        <v>0</v>
      </c>
      <c r="Q48" s="16">
        <v>0.02</v>
      </c>
      <c r="Y48">
        <v>44</v>
      </c>
      <c r="Z48">
        <v>530.41</v>
      </c>
      <c r="AA48">
        <v>26.28</v>
      </c>
      <c r="AB48">
        <v>842.51</v>
      </c>
    </row>
    <row r="49" spans="1:28" ht="15.75" thickBot="1" x14ac:dyDescent="0.3">
      <c r="A49" s="18"/>
      <c r="B49" s="18"/>
      <c r="C49" s="18" t="s">
        <v>9</v>
      </c>
      <c r="D49" s="33">
        <f>$D$1-D48</f>
        <v>0.40800000000001546</v>
      </c>
      <c r="E49" s="34">
        <f>$E$1-E48</f>
        <v>-0.55200000000013461</v>
      </c>
      <c r="F49" s="34">
        <f>$F$1-F48</f>
        <v>-0.4030000000000058</v>
      </c>
      <c r="G49" s="35">
        <f>$G$1-G48</f>
        <v>-7.5999999999993406E-2</v>
      </c>
      <c r="H49" s="34">
        <f>$H$1-H48</f>
        <v>-4.9999999999999989E-2</v>
      </c>
      <c r="I49" s="34">
        <f>$I$1-I48</f>
        <v>2.1000000000000005E-2</v>
      </c>
      <c r="J49" s="36"/>
      <c r="K49" s="18">
        <f>$K$1-K48</f>
        <v>-0.71000000000000796</v>
      </c>
      <c r="L49" s="18">
        <f>$L$1-L48</f>
        <v>-4.9999999999999989E-2</v>
      </c>
      <c r="M49" s="18">
        <f>$M$1-M48</f>
        <v>-0.13400000000000034</v>
      </c>
      <c r="N49" s="17">
        <f>$N$1-N48</f>
        <v>0.15</v>
      </c>
      <c r="O49" s="18">
        <f>$O$1-O48</f>
        <v>90.01</v>
      </c>
      <c r="P49" s="18">
        <f>$P$1-P48</f>
        <v>0.2</v>
      </c>
      <c r="Q49" s="19"/>
      <c r="Y49">
        <v>45</v>
      </c>
      <c r="Z49">
        <v>1052.52</v>
      </c>
      <c r="AA49">
        <v>-660.81</v>
      </c>
      <c r="AB49">
        <v>963.14</v>
      </c>
    </row>
    <row r="50" spans="1:28" x14ac:dyDescent="0.25">
      <c r="D50" s="38">
        <f>SQRT(D49^2+E49^2+F49^2)</f>
        <v>0.79597550213569135</v>
      </c>
      <c r="G50" s="131">
        <f>G49*PI()/180*1000</f>
        <v>-1.3264502315155755</v>
      </c>
      <c r="H50" s="132">
        <f>H49*PI()/180*1000</f>
        <v>-0.87266462599716454</v>
      </c>
      <c r="I50" s="132">
        <f>I49*PI()/180*1000</f>
        <v>0.36651914291880933</v>
      </c>
      <c r="J50" s="130">
        <f>SQRT(G50^2+H50^2+I50^2)</f>
        <v>1.6295244853270641</v>
      </c>
      <c r="K50" s="37">
        <f>SQRT(K49^2+L49^2+M49^2)</f>
        <v>0.72426238339431337</v>
      </c>
      <c r="L50" s="20" t="s">
        <v>18</v>
      </c>
      <c r="N50" s="37"/>
    </row>
    <row r="51" spans="1:28" x14ac:dyDescent="0.25">
      <c r="D51" s="20" t="s">
        <v>20</v>
      </c>
    </row>
    <row r="52" spans="1:28" x14ac:dyDescent="0.25">
      <c r="G52" s="20" t="s">
        <v>19</v>
      </c>
    </row>
    <row r="54" spans="1:28" ht="15.75" thickBot="1" x14ac:dyDescent="0.3"/>
    <row r="55" spans="1:28" x14ac:dyDescent="0.25">
      <c r="A55" s="1">
        <v>43287</v>
      </c>
      <c r="B55" s="2">
        <v>4</v>
      </c>
      <c r="C55" s="2" t="s">
        <v>3</v>
      </c>
      <c r="D55" s="21">
        <v>989.91</v>
      </c>
      <c r="E55" s="22">
        <v>1698.25</v>
      </c>
      <c r="F55" s="22">
        <v>40.880000000000003</v>
      </c>
      <c r="G55" s="23">
        <v>-134.88499999999999</v>
      </c>
      <c r="H55" s="22">
        <v>0.17199999999999999</v>
      </c>
      <c r="I55" s="22">
        <v>8.4000000000000005E-2</v>
      </c>
      <c r="J55" s="24">
        <v>0.09</v>
      </c>
      <c r="K55" s="2">
        <v>246.05</v>
      </c>
      <c r="L55" s="2">
        <v>0.31</v>
      </c>
      <c r="M55" s="2">
        <v>92.57</v>
      </c>
      <c r="N55" s="13">
        <v>0</v>
      </c>
      <c r="O55" s="2">
        <v>0</v>
      </c>
      <c r="P55" s="2">
        <v>0</v>
      </c>
      <c r="Q55" s="3">
        <v>0.01</v>
      </c>
    </row>
    <row r="56" spans="1:28" x14ac:dyDescent="0.25">
      <c r="A56" s="4"/>
      <c r="B56" s="5"/>
      <c r="C56" s="5"/>
      <c r="D56" s="25">
        <f>$D$1-D55</f>
        <v>0.5080000000000382</v>
      </c>
      <c r="E56" s="5">
        <f>$E$1-E55</f>
        <v>-0.60200000000008913</v>
      </c>
      <c r="F56" s="5">
        <f>$F$1-F55</f>
        <v>-0.44300000000000495</v>
      </c>
      <c r="G56" s="4">
        <f>$G$1-G55</f>
        <v>-7.4000000000012278E-2</v>
      </c>
      <c r="H56" s="5">
        <f>$H$1-H55</f>
        <v>-4.8999999999999988E-2</v>
      </c>
      <c r="I56" s="5">
        <f>$I$1-I55</f>
        <v>2.3999999999999994E-2</v>
      </c>
      <c r="J56" s="26"/>
      <c r="K56" s="5">
        <f>$K$1-K55</f>
        <v>-0.68000000000000682</v>
      </c>
      <c r="L56" s="5">
        <f>$L$1-L55</f>
        <v>-2.9999999999999971E-2</v>
      </c>
      <c r="M56" s="5">
        <f>$M$1-M55</f>
        <v>-0.17399999999999238</v>
      </c>
      <c r="N56" s="4">
        <f>$N$1-N55</f>
        <v>0.15</v>
      </c>
      <c r="O56" s="5">
        <f>$O$1-O55</f>
        <v>90.01</v>
      </c>
      <c r="P56" s="5">
        <f>$P$1-P55</f>
        <v>0.2</v>
      </c>
      <c r="Q56" s="6"/>
    </row>
    <row r="57" spans="1:28" x14ac:dyDescent="0.25">
      <c r="A57" s="4"/>
      <c r="B57" s="5"/>
      <c r="C57" s="5"/>
      <c r="D57" s="37">
        <f>SQRT(D56^2+E56^2+F56^2)</f>
        <v>0.9037239622806017</v>
      </c>
      <c r="E57" s="5"/>
      <c r="F57" s="5"/>
      <c r="G57" s="131">
        <f>G56*PI()/180*1000</f>
        <v>-1.2915436464760182</v>
      </c>
      <c r="H57" s="132">
        <f>H56*PI()/180*1000</f>
        <v>-0.85521133347722134</v>
      </c>
      <c r="I57" s="132">
        <f>I56*PI()/180*1000</f>
        <v>0.41887902047863895</v>
      </c>
      <c r="J57" s="130">
        <f>SQRT(G57^2+H57^2+I57^2)</f>
        <v>1.6046591692498444</v>
      </c>
      <c r="K57" s="37">
        <f>SQRT(K56^2+L56^2+M56^2)</f>
        <v>0.70254964237412199</v>
      </c>
      <c r="L57" s="5"/>
      <c r="M57" s="5"/>
      <c r="N57" s="4"/>
      <c r="O57" s="5"/>
      <c r="P57" s="5"/>
      <c r="Q57" s="6"/>
    </row>
    <row r="58" spans="1:28" x14ac:dyDescent="0.25">
      <c r="A58" s="11">
        <f>A55</f>
        <v>43287</v>
      </c>
      <c r="B58" s="5">
        <v>4.0999999999999996</v>
      </c>
      <c r="C58" s="5" t="s">
        <v>13</v>
      </c>
      <c r="D58" s="25">
        <v>989.92</v>
      </c>
      <c r="E58" s="5">
        <v>1698.26</v>
      </c>
      <c r="F58" s="5">
        <v>40.909999999999997</v>
      </c>
      <c r="G58" s="4">
        <v>-134.88499999999999</v>
      </c>
      <c r="H58" s="5">
        <v>0.17399999999999999</v>
      </c>
      <c r="I58" s="5">
        <v>8.3000000000000004E-2</v>
      </c>
      <c r="J58" s="26">
        <v>0.1</v>
      </c>
      <c r="K58" s="5">
        <v>246.02</v>
      </c>
      <c r="L58" s="5">
        <v>0.31</v>
      </c>
      <c r="M58" s="5">
        <v>92.57</v>
      </c>
      <c r="N58" s="4">
        <v>0</v>
      </c>
      <c r="O58" s="5">
        <v>0</v>
      </c>
      <c r="P58" s="5">
        <v>0</v>
      </c>
      <c r="Q58" s="6">
        <v>0.02</v>
      </c>
    </row>
    <row r="59" spans="1:28" x14ac:dyDescent="0.25">
      <c r="A59" s="4"/>
      <c r="B59" s="5"/>
      <c r="C59" s="5"/>
      <c r="D59" s="25">
        <f>$D$1-D58</f>
        <v>0.49800000000004729</v>
      </c>
      <c r="E59" s="5">
        <f>$E$1-E58</f>
        <v>-0.61200000000008004</v>
      </c>
      <c r="F59" s="5">
        <f>$F$1-F58</f>
        <v>-0.47299999999999898</v>
      </c>
      <c r="G59" s="4">
        <f>$G$1-G58</f>
        <v>-7.4000000000012278E-2</v>
      </c>
      <c r="H59" s="5">
        <f>$H$1-H58</f>
        <v>-5.099999999999999E-2</v>
      </c>
      <c r="I59" s="5">
        <f>$I$1-I58</f>
        <v>2.4999999999999994E-2</v>
      </c>
      <c r="J59" s="26"/>
      <c r="K59" s="5">
        <f>$K$1-K58</f>
        <v>-0.65000000000000568</v>
      </c>
      <c r="L59" s="5">
        <f>$L$1-L58</f>
        <v>-2.9999999999999971E-2</v>
      </c>
      <c r="M59" s="5">
        <f>$M$1-M58</f>
        <v>-0.17399999999999238</v>
      </c>
      <c r="N59" s="4">
        <f>$N$1-N58</f>
        <v>0.15</v>
      </c>
      <c r="O59" s="5">
        <f>$O$1-O58</f>
        <v>90.01</v>
      </c>
      <c r="P59" s="5">
        <f>$P$1-P58</f>
        <v>0.2</v>
      </c>
      <c r="Q59" s="6"/>
    </row>
    <row r="60" spans="1:28" x14ac:dyDescent="0.25">
      <c r="A60" s="4"/>
      <c r="B60" s="5"/>
      <c r="C60" s="5"/>
      <c r="D60" s="37">
        <f>SQRT(D59^2+E59^2+F59^2)</f>
        <v>0.91993314974521068</v>
      </c>
      <c r="E60" s="5"/>
      <c r="F60" s="5"/>
      <c r="G60" s="131">
        <f>G59*PI()/180*1000</f>
        <v>-1.2915436464760182</v>
      </c>
      <c r="H60" s="132">
        <f>H59*PI()/180*1000</f>
        <v>-0.89011791851710786</v>
      </c>
      <c r="I60" s="132">
        <f>I59*PI()/180*1000</f>
        <v>0.43633231299858227</v>
      </c>
      <c r="J60" s="130">
        <f>SQRT(G60^2+H60^2+I60^2)</f>
        <v>1.6281218587638</v>
      </c>
      <c r="K60" s="37">
        <f>SQRT(K59^2+L59^2+M59^2)</f>
        <v>0.67355474907390023</v>
      </c>
      <c r="L60" s="5"/>
      <c r="M60" s="5"/>
      <c r="N60" s="4"/>
      <c r="O60" s="5"/>
      <c r="P60" s="5"/>
      <c r="Q60" s="6"/>
    </row>
    <row r="61" spans="1:28" x14ac:dyDescent="0.25">
      <c r="A61" s="11">
        <f t="shared" ref="A61" si="10">A58</f>
        <v>43287</v>
      </c>
      <c r="B61" s="5">
        <v>4.2</v>
      </c>
      <c r="C61" s="5" t="s">
        <v>14</v>
      </c>
      <c r="D61" s="25">
        <v>989.94</v>
      </c>
      <c r="E61" s="5">
        <v>1698.24</v>
      </c>
      <c r="F61" s="5">
        <v>40.9</v>
      </c>
      <c r="G61" s="4">
        <v>-134.886</v>
      </c>
      <c r="H61" s="5">
        <v>0.17399999999999999</v>
      </c>
      <c r="I61" s="5">
        <v>8.3000000000000004E-2</v>
      </c>
      <c r="J61" s="26">
        <v>0.11</v>
      </c>
      <c r="K61" s="5">
        <v>246</v>
      </c>
      <c r="L61" s="5">
        <v>0.28999999999999998</v>
      </c>
      <c r="M61" s="5">
        <v>92.57</v>
      </c>
      <c r="N61" s="4">
        <v>0</v>
      </c>
      <c r="O61" s="5">
        <v>0</v>
      </c>
      <c r="P61" s="5">
        <v>0</v>
      </c>
      <c r="Q61" s="6">
        <v>0.02</v>
      </c>
    </row>
    <row r="62" spans="1:28" x14ac:dyDescent="0.25">
      <c r="A62" s="4"/>
      <c r="B62" s="5"/>
      <c r="C62" s="5"/>
      <c r="D62" s="25">
        <f>$D$1-D61</f>
        <v>0.4779999999999518</v>
      </c>
      <c r="E62" s="5">
        <f>$E$1-E61</f>
        <v>-0.59200000000009823</v>
      </c>
      <c r="F62" s="5">
        <f>$F$1-F61</f>
        <v>-0.46300000000000097</v>
      </c>
      <c r="G62" s="4">
        <f>$G$1-G61</f>
        <v>-7.3000000000007503E-2</v>
      </c>
      <c r="H62" s="5">
        <f>$H$1-H61</f>
        <v>-5.099999999999999E-2</v>
      </c>
      <c r="I62" s="5">
        <f>$I$1-I61</f>
        <v>2.4999999999999994E-2</v>
      </c>
      <c r="J62" s="26"/>
      <c r="K62" s="5">
        <f>$K$1-K61</f>
        <v>-0.62999999999999545</v>
      </c>
      <c r="L62" s="5">
        <f>$L$1-L61</f>
        <v>-9.9999999999999534E-3</v>
      </c>
      <c r="M62" s="5">
        <f>$M$1-M61</f>
        <v>-0.17399999999999238</v>
      </c>
      <c r="N62" s="4">
        <f>$N$1-N61</f>
        <v>0.15</v>
      </c>
      <c r="O62" s="5">
        <f>$O$1-O61</f>
        <v>90.01</v>
      </c>
      <c r="P62" s="5">
        <f>$P$1-P61</f>
        <v>0.2</v>
      </c>
      <c r="Q62" s="6"/>
    </row>
    <row r="63" spans="1:28" x14ac:dyDescent="0.25">
      <c r="A63" s="4"/>
      <c r="B63" s="5"/>
      <c r="C63" s="5"/>
      <c r="D63" s="37">
        <f>SQRT(D62^2+E62^2+F62^2)</f>
        <v>0.89068344545077915</v>
      </c>
      <c r="E63" s="5"/>
      <c r="F63" s="5"/>
      <c r="G63" s="131">
        <f>G62*PI()/180*1000</f>
        <v>-1.2740903539559916</v>
      </c>
      <c r="H63" s="132">
        <f>H62*PI()/180*1000</f>
        <v>-0.89011791851710786</v>
      </c>
      <c r="I63" s="132">
        <f>I62*PI()/180*1000</f>
        <v>0.43633231299858227</v>
      </c>
      <c r="J63" s="130">
        <f>SQRT(G63^2+H63^2+I63^2)</f>
        <v>1.6143116261353088</v>
      </c>
      <c r="K63" s="37">
        <f>SQRT(K62^2+L62^2+M62^2)</f>
        <v>0.65366352200500799</v>
      </c>
      <c r="L63" s="5"/>
      <c r="M63" s="5"/>
      <c r="N63" s="4"/>
      <c r="O63" s="5"/>
      <c r="P63" s="5"/>
      <c r="Q63" s="6"/>
    </row>
    <row r="64" spans="1:28" x14ac:dyDescent="0.25">
      <c r="A64" s="11">
        <f t="shared" ref="A64" si="11">A61</f>
        <v>43287</v>
      </c>
      <c r="B64" s="5">
        <v>4.3</v>
      </c>
      <c r="C64" s="5" t="s">
        <v>15</v>
      </c>
      <c r="D64" s="25">
        <v>989.94</v>
      </c>
      <c r="E64" s="5">
        <v>1698.25</v>
      </c>
      <c r="F64" s="5">
        <v>40.950000000000003</v>
      </c>
      <c r="G64" s="4">
        <v>-134.886</v>
      </c>
      <c r="H64" s="5">
        <v>0.17599999999999999</v>
      </c>
      <c r="I64" s="5">
        <v>8.5000000000000006E-2</v>
      </c>
      <c r="J64" s="26">
        <v>0.1</v>
      </c>
      <c r="K64" s="5">
        <v>245.96</v>
      </c>
      <c r="L64" s="5">
        <v>0.36</v>
      </c>
      <c r="M64" s="5">
        <v>92.53</v>
      </c>
      <c r="N64" s="4">
        <v>0</v>
      </c>
      <c r="O64" s="5">
        <v>0</v>
      </c>
      <c r="P64" s="5">
        <v>0</v>
      </c>
      <c r="Q64" s="6">
        <v>0.03</v>
      </c>
    </row>
    <row r="65" spans="1:21" x14ac:dyDescent="0.25">
      <c r="A65" s="4"/>
      <c r="B65" s="5"/>
      <c r="C65" s="5" t="s">
        <v>7</v>
      </c>
      <c r="D65" s="25">
        <f>$D$1-D64</f>
        <v>0.4779999999999518</v>
      </c>
      <c r="E65" s="5">
        <f>$E$1-E64</f>
        <v>-0.60200000000008913</v>
      </c>
      <c r="F65" s="5">
        <f>$F$1-F64</f>
        <v>-0.51300000000000523</v>
      </c>
      <c r="G65" s="4">
        <f>$G$1-G64</f>
        <v>-7.3000000000007503E-2</v>
      </c>
      <c r="H65" s="5">
        <f>$H$1-H64</f>
        <v>-5.2999999999999992E-2</v>
      </c>
      <c r="I65" s="5">
        <f>$I$1-I64</f>
        <v>2.2999999999999993E-2</v>
      </c>
      <c r="J65" s="26"/>
      <c r="K65" s="5">
        <f>$K$1-K64</f>
        <v>-0.59000000000000341</v>
      </c>
      <c r="L65" s="5">
        <f>$L$1-L64</f>
        <v>-7.999999999999996E-2</v>
      </c>
      <c r="M65" s="5">
        <f>$M$1-M64</f>
        <v>-0.13400000000000034</v>
      </c>
      <c r="N65" s="4">
        <f>$N$1-N64</f>
        <v>0.15</v>
      </c>
      <c r="O65" s="5">
        <f>$O$1-O64</f>
        <v>90.01</v>
      </c>
      <c r="P65" s="5">
        <f>$P$1-P64</f>
        <v>0.2</v>
      </c>
      <c r="Q65" s="6"/>
    </row>
    <row r="66" spans="1:21" x14ac:dyDescent="0.25">
      <c r="A66" s="4"/>
      <c r="B66" s="5"/>
      <c r="C66" s="5"/>
      <c r="D66" s="37">
        <f>SQRT(D65^2+E65^2+F65^2)</f>
        <v>0.92415204376772697</v>
      </c>
      <c r="E66" s="5"/>
      <c r="F66" s="5"/>
      <c r="G66" s="131">
        <f>G65*PI()/180*1000</f>
        <v>-1.2740903539559916</v>
      </c>
      <c r="H66" s="132">
        <f>H65*PI()/180*1000</f>
        <v>-0.9250245035569945</v>
      </c>
      <c r="I66" s="132">
        <f>I65*PI()/180*1000</f>
        <v>0.40142572795869569</v>
      </c>
      <c r="J66" s="130">
        <f>SQRT(G66^2+H66^2+I66^2)</f>
        <v>1.6248443547896323</v>
      </c>
      <c r="K66" s="37">
        <f>SQRT(K65^2+L65^2+M65^2)</f>
        <v>0.61029173351767119</v>
      </c>
      <c r="L66" s="5"/>
      <c r="M66" s="5"/>
      <c r="N66" s="4"/>
      <c r="O66" s="5"/>
      <c r="P66" s="5"/>
      <c r="Q66" s="6"/>
    </row>
    <row r="67" spans="1:21" x14ac:dyDescent="0.25">
      <c r="A67" s="11">
        <f t="shared" ref="A67" si="12">A64</f>
        <v>43287</v>
      </c>
      <c r="B67" s="5">
        <v>4.4000000000000004</v>
      </c>
      <c r="C67" s="5" t="s">
        <v>16</v>
      </c>
      <c r="D67" s="25">
        <v>990.03</v>
      </c>
      <c r="E67" s="5">
        <v>1698.4</v>
      </c>
      <c r="F67" s="5">
        <v>40.83</v>
      </c>
      <c r="G67" s="4">
        <v>-134.88399999999999</v>
      </c>
      <c r="H67" s="5">
        <v>0.18</v>
      </c>
      <c r="I67" s="5">
        <v>8.1000000000000003E-2</v>
      </c>
      <c r="J67" s="26">
        <v>0.13</v>
      </c>
      <c r="K67" s="5">
        <v>246.03</v>
      </c>
      <c r="L67" s="5">
        <v>0.39</v>
      </c>
      <c r="M67" s="5">
        <v>92.72</v>
      </c>
      <c r="N67" s="4">
        <v>0</v>
      </c>
      <c r="O67" s="5">
        <v>0</v>
      </c>
      <c r="P67" s="5">
        <v>0</v>
      </c>
      <c r="Q67" s="6">
        <v>0.05</v>
      </c>
    </row>
    <row r="68" spans="1:21" x14ac:dyDescent="0.25">
      <c r="A68" s="4"/>
      <c r="B68" s="5"/>
      <c r="C68" s="5" t="s">
        <v>7</v>
      </c>
      <c r="D68" s="25">
        <f>$D$1-D67</f>
        <v>0.38800000000003365</v>
      </c>
      <c r="E68" s="5">
        <f>$E$1-E67</f>
        <v>-0.75200000000018008</v>
      </c>
      <c r="F68" s="5">
        <f>$F$1-F67</f>
        <v>-0.39300000000000068</v>
      </c>
      <c r="G68" s="4">
        <f>$G$1-G67</f>
        <v>-7.5000000000017053E-2</v>
      </c>
      <c r="H68" s="5">
        <f>$H$1-H67</f>
        <v>-5.6999999999999995E-2</v>
      </c>
      <c r="I68" s="5">
        <f>$I$1-I67</f>
        <v>2.6999999999999996E-2</v>
      </c>
      <c r="J68" s="26"/>
      <c r="K68" s="5">
        <f>$K$1-K67</f>
        <v>-0.65999999999999659</v>
      </c>
      <c r="L68" s="5">
        <f>$L$1-L67</f>
        <v>-0.10999999999999999</v>
      </c>
      <c r="M68" s="5">
        <f>$M$1-M67</f>
        <v>-0.32399999999999807</v>
      </c>
      <c r="N68" s="4">
        <f>$N$1-N67</f>
        <v>0.15</v>
      </c>
      <c r="O68" s="5">
        <f>$O$1-O67</f>
        <v>90.01</v>
      </c>
      <c r="P68" s="5">
        <f>$P$1-P67</f>
        <v>0.2</v>
      </c>
      <c r="Q68" s="6"/>
      <c r="S68">
        <v>565.80999999999995</v>
      </c>
      <c r="T68">
        <v>-563.01</v>
      </c>
      <c r="U68">
        <v>672.36</v>
      </c>
    </row>
    <row r="69" spans="1:21" x14ac:dyDescent="0.25">
      <c r="A69" s="4"/>
      <c r="B69" s="5"/>
      <c r="C69" s="5"/>
      <c r="D69" s="37">
        <f>SQRT(D68^2+E68^2+F68^2)</f>
        <v>0.93300428723575402</v>
      </c>
      <c r="E69" s="5"/>
      <c r="F69" s="5"/>
      <c r="G69" s="131">
        <f>G68*PI()/180*1000</f>
        <v>-1.3089969389960447</v>
      </c>
      <c r="H69" s="132">
        <f>H68*PI()/180*1000</f>
        <v>-0.99483767363676778</v>
      </c>
      <c r="I69" s="132">
        <f>I68*PI()/180*1000</f>
        <v>0.47123889803846886</v>
      </c>
      <c r="J69" s="130">
        <f>SQRT(G69^2+H69^2+I69^2)</f>
        <v>1.7103336172257568</v>
      </c>
      <c r="K69" s="37">
        <f>SQRT(K68^2+L68^2+M68^2)</f>
        <v>0.74342181835078947</v>
      </c>
      <c r="L69" s="5"/>
      <c r="M69" s="5"/>
      <c r="N69" s="4"/>
      <c r="O69" s="5"/>
      <c r="P69" s="5"/>
      <c r="Q69" s="6"/>
      <c r="S69">
        <v>688.25</v>
      </c>
      <c r="T69">
        <v>-621.46</v>
      </c>
      <c r="U69">
        <v>941.72</v>
      </c>
    </row>
    <row r="70" spans="1:21" x14ac:dyDescent="0.25">
      <c r="A70" s="11">
        <f t="shared" ref="A70" si="13">A67</f>
        <v>43287</v>
      </c>
      <c r="B70" s="14">
        <v>4.5</v>
      </c>
      <c r="C70" s="14" t="s">
        <v>16</v>
      </c>
      <c r="D70" s="31">
        <v>990.11</v>
      </c>
      <c r="E70" s="14">
        <v>1697.64</v>
      </c>
      <c r="F70" s="14">
        <v>40.479999999999997</v>
      </c>
      <c r="G70" s="15">
        <v>-134.899</v>
      </c>
      <c r="H70" s="14">
        <v>0.152</v>
      </c>
      <c r="I70" s="14">
        <v>9.5000000000000001E-2</v>
      </c>
      <c r="J70" s="32">
        <v>0.03</v>
      </c>
      <c r="K70" s="14">
        <v>246.24</v>
      </c>
      <c r="L70" s="14">
        <v>0.04</v>
      </c>
      <c r="M70" s="14">
        <v>92.62</v>
      </c>
      <c r="N70" s="15">
        <v>0</v>
      </c>
      <c r="O70" s="14">
        <v>0</v>
      </c>
      <c r="P70" s="14">
        <v>0</v>
      </c>
      <c r="Q70" s="16">
        <v>0.01</v>
      </c>
      <c r="S70">
        <v>530.41</v>
      </c>
      <c r="T70">
        <v>26.28</v>
      </c>
      <c r="U70">
        <v>842.51</v>
      </c>
    </row>
    <row r="71" spans="1:21" x14ac:dyDescent="0.25">
      <c r="A71" s="4"/>
      <c r="B71" s="14"/>
      <c r="C71" s="14" t="s">
        <v>9</v>
      </c>
      <c r="D71" s="31">
        <f>$D$1-D70</f>
        <v>0.30799999999999272</v>
      </c>
      <c r="E71" s="14">
        <f>$E$1-E70</f>
        <v>7.9999999998108251E-3</v>
      </c>
      <c r="F71" s="14">
        <f>$F$1-F70</f>
        <v>-4.2999999999999261E-2</v>
      </c>
      <c r="G71" s="15">
        <f>$G$1-G70</f>
        <v>-6.0000000000002274E-2</v>
      </c>
      <c r="H71" s="14">
        <f>$H$1-H70</f>
        <v>-2.8999999999999998E-2</v>
      </c>
      <c r="I71" s="14">
        <f>$I$1-I70</f>
        <v>1.2999999999999998E-2</v>
      </c>
      <c r="J71" s="32"/>
      <c r="K71" s="14">
        <f>$K$1-K70</f>
        <v>-0.87000000000000455</v>
      </c>
      <c r="L71" s="14">
        <f>$L$1-L70</f>
        <v>0.24000000000000002</v>
      </c>
      <c r="M71" s="14">
        <f>$M$1-M70</f>
        <v>-0.22400000000000375</v>
      </c>
      <c r="N71" s="15">
        <f>$N$1-N70</f>
        <v>0.15</v>
      </c>
      <c r="O71" s="14">
        <f>$O$1-O70</f>
        <v>90.01</v>
      </c>
      <c r="P71" s="14">
        <f>$P$1-P70</f>
        <v>0.2</v>
      </c>
      <c r="Q71" s="16"/>
      <c r="S71">
        <v>1052.52</v>
      </c>
      <c r="T71">
        <v>-660.81</v>
      </c>
      <c r="U71">
        <v>963.14</v>
      </c>
    </row>
    <row r="72" spans="1:21" x14ac:dyDescent="0.25">
      <c r="A72" s="4"/>
      <c r="B72" s="14"/>
      <c r="C72" s="14"/>
      <c r="D72" s="37">
        <f>SQRT(D71^2+E71^2+F71^2)</f>
        <v>0.31109001912628509</v>
      </c>
      <c r="E72" s="14"/>
      <c r="F72" s="14"/>
      <c r="G72" s="131">
        <f>G71*PI()/180*1000</f>
        <v>-1.0471975511966376</v>
      </c>
      <c r="H72" s="132">
        <f>H71*PI()/180*1000</f>
        <v>-0.50614548307835561</v>
      </c>
      <c r="I72" s="132">
        <f>I71*PI()/180*1000</f>
        <v>0.2268928027592628</v>
      </c>
      <c r="J72" s="130">
        <f>SQRT(G72^2+H72^2+I72^2)</f>
        <v>1.1850258668977696</v>
      </c>
      <c r="K72" s="37">
        <f>SQRT(K71^2+L71^2+M71^2)</f>
        <v>0.92987956209393563</v>
      </c>
      <c r="L72" s="14"/>
      <c r="M72" s="14"/>
      <c r="N72" s="15"/>
      <c r="O72" s="14"/>
      <c r="P72" s="14"/>
      <c r="Q72" s="16"/>
    </row>
    <row r="73" spans="1:21" x14ac:dyDescent="0.25">
      <c r="A73" s="11">
        <f t="shared" ref="A73" si="14">A70</f>
        <v>43287</v>
      </c>
      <c r="B73" s="14">
        <v>4.5999999999999996</v>
      </c>
      <c r="C73" s="14" t="s">
        <v>15</v>
      </c>
      <c r="D73" s="31">
        <v>989.97</v>
      </c>
      <c r="E73" s="14">
        <v>1698.24</v>
      </c>
      <c r="F73" s="14">
        <v>40.869999999999997</v>
      </c>
      <c r="G73" s="15">
        <v>-134.88399999999999</v>
      </c>
      <c r="H73" s="14">
        <v>0.17199999999999999</v>
      </c>
      <c r="I73" s="14">
        <v>8.8999999999999996E-2</v>
      </c>
      <c r="J73" s="32">
        <v>0.08</v>
      </c>
      <c r="K73" s="14">
        <v>246.05</v>
      </c>
      <c r="L73" s="14">
        <v>0.31</v>
      </c>
      <c r="M73" s="14">
        <v>92.57</v>
      </c>
      <c r="N73" s="15">
        <v>0</v>
      </c>
      <c r="O73" s="14">
        <v>0</v>
      </c>
      <c r="P73" s="14">
        <v>0</v>
      </c>
      <c r="Q73" s="16">
        <v>0.02</v>
      </c>
    </row>
    <row r="74" spans="1:21" x14ac:dyDescent="0.25">
      <c r="A74" s="4"/>
      <c r="B74" s="14"/>
      <c r="C74" s="14" t="s">
        <v>9</v>
      </c>
      <c r="D74" s="31">
        <f>$D$1-D73</f>
        <v>0.44799999999997908</v>
      </c>
      <c r="E74" s="14">
        <f>$E$1-E73</f>
        <v>-0.59200000000009823</v>
      </c>
      <c r="F74" s="14">
        <f>$F$1-F73</f>
        <v>-0.43299999999999983</v>
      </c>
      <c r="G74" s="15">
        <f>$G$1-G73</f>
        <v>-7.5000000000017053E-2</v>
      </c>
      <c r="H74" s="14">
        <f>$H$1-H73</f>
        <v>-4.8999999999999988E-2</v>
      </c>
      <c r="I74" s="14">
        <f>$I$1-I73</f>
        <v>1.9000000000000003E-2</v>
      </c>
      <c r="J74" s="32"/>
      <c r="K74" s="14">
        <f>$K$1-K73</f>
        <v>-0.68000000000000682</v>
      </c>
      <c r="L74" s="14">
        <f>$L$1-L73</f>
        <v>-2.9999999999999971E-2</v>
      </c>
      <c r="M74" s="14">
        <f>$M$1-M73</f>
        <v>-0.17399999999999238</v>
      </c>
      <c r="N74" s="15">
        <f>$N$1-N73</f>
        <v>0.15</v>
      </c>
      <c r="O74" s="14">
        <f>$O$1-O73</f>
        <v>90.01</v>
      </c>
      <c r="P74" s="14">
        <f>$P$1-P73</f>
        <v>0.2</v>
      </c>
      <c r="Q74" s="16"/>
    </row>
    <row r="75" spans="1:21" x14ac:dyDescent="0.25">
      <c r="A75" s="4"/>
      <c r="B75" s="14"/>
      <c r="C75" s="14"/>
      <c r="D75" s="37">
        <f>SQRT(D74^2+E74^2+F74^2)</f>
        <v>0.8594515693162107</v>
      </c>
      <c r="E75" s="14"/>
      <c r="F75" s="14"/>
      <c r="G75" s="131">
        <f>G74*PI()/180*1000</f>
        <v>-1.3089969389960447</v>
      </c>
      <c r="H75" s="132">
        <f>H74*PI()/180*1000</f>
        <v>-0.85521133347722134</v>
      </c>
      <c r="I75" s="132">
        <f>I74*PI()/180*1000</f>
        <v>0.33161255787892263</v>
      </c>
      <c r="J75" s="130">
        <f>SQRT(G75^2+H75^2+I75^2)</f>
        <v>1.5983824009766574</v>
      </c>
      <c r="K75" s="37">
        <f>SQRT(K74^2+L74^2+M74^2)</f>
        <v>0.70254964237412199</v>
      </c>
      <c r="L75" s="14"/>
      <c r="M75" s="14"/>
      <c r="N75" s="15"/>
      <c r="O75" s="14"/>
      <c r="P75" s="14"/>
      <c r="Q75" s="16"/>
    </row>
    <row r="76" spans="1:21" x14ac:dyDescent="0.25">
      <c r="A76" s="11">
        <f t="shared" ref="A76" si="15">A73</f>
        <v>43287</v>
      </c>
      <c r="B76" s="14">
        <v>4.7</v>
      </c>
      <c r="C76" s="14" t="s">
        <v>21</v>
      </c>
      <c r="D76" s="31">
        <v>990.18</v>
      </c>
      <c r="E76" s="14">
        <v>1698.29</v>
      </c>
      <c r="F76" s="14">
        <v>40.869999999999997</v>
      </c>
      <c r="G76" s="15">
        <v>-134.88200000000001</v>
      </c>
      <c r="H76" s="14">
        <v>0.183</v>
      </c>
      <c r="I76" s="14">
        <v>9.2999999999999999E-2</v>
      </c>
      <c r="J76" s="32">
        <v>7.0000000000000007E-2</v>
      </c>
      <c r="K76" s="14">
        <v>246.09</v>
      </c>
      <c r="L76" s="14">
        <v>0.33</v>
      </c>
      <c r="M76" s="14">
        <v>92.58</v>
      </c>
      <c r="N76" s="15">
        <v>0</v>
      </c>
      <c r="O76" s="14">
        <v>0</v>
      </c>
      <c r="P76" s="14">
        <v>0</v>
      </c>
      <c r="Q76" s="16">
        <v>0.02</v>
      </c>
    </row>
    <row r="77" spans="1:21" x14ac:dyDescent="0.25">
      <c r="A77" s="4"/>
      <c r="B77" s="14"/>
      <c r="C77" s="14" t="s">
        <v>9</v>
      </c>
      <c r="D77" s="31">
        <f>$D$1-D76</f>
        <v>0.23800000000005639</v>
      </c>
      <c r="E77" s="14">
        <f>$E$1-E76</f>
        <v>-0.64200000000005275</v>
      </c>
      <c r="F77" s="14">
        <f>$F$1-F76</f>
        <v>-0.43299999999999983</v>
      </c>
      <c r="G77" s="15">
        <f>$G$1-G76</f>
        <v>-7.6999999999998181E-2</v>
      </c>
      <c r="H77" s="14">
        <f>$H$1-H76</f>
        <v>-0.06</v>
      </c>
      <c r="I77" s="14">
        <f>$I$1-I76</f>
        <v>1.4999999999999999E-2</v>
      </c>
      <c r="J77" s="32"/>
      <c r="K77" s="14">
        <f>$K$1-K76</f>
        <v>-0.71999999999999886</v>
      </c>
      <c r="L77" s="14">
        <f>$L$1-L76</f>
        <v>-4.9999999999999989E-2</v>
      </c>
      <c r="M77" s="14">
        <f>$M$1-M76</f>
        <v>-0.1839999999999975</v>
      </c>
      <c r="N77" s="15">
        <f>$N$1-N76</f>
        <v>0.15</v>
      </c>
      <c r="O77" s="14">
        <f>$O$1-O76</f>
        <v>90.01</v>
      </c>
      <c r="P77" s="14">
        <f>$P$1-P76</f>
        <v>0.2</v>
      </c>
      <c r="Q77" s="16"/>
    </row>
    <row r="78" spans="1:21" x14ac:dyDescent="0.25">
      <c r="A78" s="4"/>
      <c r="B78" s="14"/>
      <c r="C78" s="14"/>
      <c r="D78" s="37">
        <f>SQRT(D77^2+E77^2+F77^2)</f>
        <v>0.8101215958114526</v>
      </c>
      <c r="E78" s="14"/>
      <c r="F78" s="14"/>
      <c r="G78" s="131">
        <f>G77*PI()/180*1000</f>
        <v>-1.3439035240356021</v>
      </c>
      <c r="H78" s="132">
        <f>H77*PI()/180*1000</f>
        <v>-1.0471975511965976</v>
      </c>
      <c r="I78" s="132">
        <f>I77*PI()/180*1000</f>
        <v>0.26179938779914941</v>
      </c>
      <c r="J78" s="130">
        <f>SQRT(G78^2+H78^2+I78^2)</f>
        <v>1.7237280274450115</v>
      </c>
      <c r="K78" s="37">
        <f>SQRT(K77^2+L77^2+M77^2)</f>
        <v>0.74481944120706023</v>
      </c>
      <c r="L78" s="14"/>
      <c r="M78" s="14"/>
      <c r="N78" s="15"/>
      <c r="O78" s="14"/>
      <c r="P78" s="14"/>
      <c r="Q78" s="16"/>
    </row>
    <row r="79" spans="1:21" x14ac:dyDescent="0.25">
      <c r="A79" s="11">
        <f>A76</f>
        <v>43287</v>
      </c>
      <c r="B79" s="14">
        <v>4.8</v>
      </c>
      <c r="C79" s="14" t="s">
        <v>21</v>
      </c>
      <c r="D79" s="31">
        <v>990.02</v>
      </c>
      <c r="E79" s="14">
        <v>1697.93</v>
      </c>
      <c r="F79" s="14">
        <v>40.799999999999997</v>
      </c>
      <c r="G79" s="15">
        <v>-134.886</v>
      </c>
      <c r="H79" s="14">
        <v>0.16300000000000001</v>
      </c>
      <c r="I79" s="14">
        <v>9.7000000000000003E-2</v>
      </c>
      <c r="J79" s="32">
        <v>7.0000000000000007E-2</v>
      </c>
      <c r="K79" s="14">
        <v>246.08</v>
      </c>
      <c r="L79" s="14">
        <v>0.33</v>
      </c>
      <c r="M79" s="14">
        <v>92.54</v>
      </c>
      <c r="N79" s="15">
        <v>0</v>
      </c>
      <c r="O79" s="14">
        <v>0</v>
      </c>
      <c r="P79" s="14">
        <v>0</v>
      </c>
      <c r="Q79" s="16">
        <v>0.02</v>
      </c>
    </row>
    <row r="80" spans="1:21" ht="15.75" thickBot="1" x14ac:dyDescent="0.3">
      <c r="A80" s="18"/>
      <c r="B80" s="18"/>
      <c r="C80" s="18" t="s">
        <v>9</v>
      </c>
      <c r="D80" s="33">
        <f>$D$1-D79</f>
        <v>0.39800000000002456</v>
      </c>
      <c r="E80" s="34">
        <f>$E$1-E79</f>
        <v>-0.2820000000001528</v>
      </c>
      <c r="F80" s="34">
        <f>$F$1-F79</f>
        <v>-0.36299999999999955</v>
      </c>
      <c r="G80" s="35">
        <f>$G$1-G79</f>
        <v>-7.3000000000007503E-2</v>
      </c>
      <c r="H80" s="34">
        <f>$H$1-H79</f>
        <v>-4.0000000000000008E-2</v>
      </c>
      <c r="I80" s="34">
        <f>$I$1-I79</f>
        <v>1.0999999999999996E-2</v>
      </c>
      <c r="J80" s="36"/>
      <c r="K80" s="18">
        <f>$K$1-K79</f>
        <v>-0.71000000000000796</v>
      </c>
      <c r="L80" s="18">
        <f>$L$1-L79</f>
        <v>-4.9999999999999989E-2</v>
      </c>
      <c r="M80" s="18">
        <f>$M$1-M79</f>
        <v>-0.14400000000000546</v>
      </c>
      <c r="N80" s="17">
        <f>$N$1-N79</f>
        <v>0.15</v>
      </c>
      <c r="O80" s="18">
        <f>$O$1-O79</f>
        <v>90.01</v>
      </c>
      <c r="P80" s="18">
        <f>$P$1-P79</f>
        <v>0.2</v>
      </c>
      <c r="Q80" s="19"/>
    </row>
    <row r="81" spans="1:13" x14ac:dyDescent="0.25">
      <c r="D81" s="38">
        <f>SQRT(D80^2+E80^2+F80^2)</f>
        <v>0.60802713755235083</v>
      </c>
      <c r="G81" s="131">
        <f>G80*PI()/180*1000</f>
        <v>-1.2740903539559916</v>
      </c>
      <c r="H81" s="132">
        <f>H80*PI()/180*1000</f>
        <v>-0.6981317007977319</v>
      </c>
      <c r="I81" s="132">
        <f>I80*PI()/180*1000</f>
        <v>0.19198621771937616</v>
      </c>
      <c r="J81" s="130">
        <f>SQRT(G81^2+H81^2+I81^2)</f>
        <v>1.4654531072322408</v>
      </c>
      <c r="K81" s="37">
        <f>SQRT(K80^2+L80^2+M80^2)</f>
        <v>0.72617904128390598</v>
      </c>
    </row>
    <row r="84" spans="1:13" ht="15.75" thickBot="1" x14ac:dyDescent="0.3">
      <c r="A84" s="43" t="s">
        <v>42</v>
      </c>
    </row>
    <row r="85" spans="1:13" x14ac:dyDescent="0.25">
      <c r="A85" s="1" t="s">
        <v>22</v>
      </c>
      <c r="B85" s="2"/>
      <c r="C85" s="2" t="s">
        <v>24</v>
      </c>
      <c r="D85" s="21">
        <v>990.09</v>
      </c>
      <c r="E85" s="22">
        <v>1698.21</v>
      </c>
      <c r="F85" s="22">
        <v>40.72</v>
      </c>
      <c r="G85" s="23">
        <v>-134.886</v>
      </c>
      <c r="H85" s="22">
        <v>0.16600000000000001</v>
      </c>
      <c r="I85" s="22">
        <v>8.4000000000000005E-2</v>
      </c>
      <c r="J85" s="24">
        <v>0.06</v>
      </c>
      <c r="L85">
        <v>781.16</v>
      </c>
      <c r="M85">
        <v>-630.39</v>
      </c>
    </row>
    <row r="86" spans="1:13" x14ac:dyDescent="0.25">
      <c r="A86" s="4">
        <v>43290</v>
      </c>
      <c r="B86" s="5"/>
      <c r="C86" s="5" t="s">
        <v>146</v>
      </c>
      <c r="D86" s="25">
        <f>$D$1-D85</f>
        <v>0.32799999999997453</v>
      </c>
      <c r="E86" s="5">
        <f>$E$1-E85</f>
        <v>-0.56200000000012551</v>
      </c>
      <c r="F86" s="5">
        <f>$F$1-F85</f>
        <v>-0.28300000000000125</v>
      </c>
      <c r="G86" s="4">
        <f>$G$1-G85</f>
        <v>-7.3000000000007503E-2</v>
      </c>
      <c r="H86" s="5">
        <f>$H$1-H85</f>
        <v>-4.300000000000001E-2</v>
      </c>
      <c r="I86" s="5">
        <f>$I$1-I85</f>
        <v>2.3999999999999994E-2</v>
      </c>
      <c r="J86" s="26"/>
      <c r="L86">
        <v>304.45</v>
      </c>
      <c r="M86">
        <v>-249.66</v>
      </c>
    </row>
    <row r="87" spans="1:13" ht="15.75" thickBot="1" x14ac:dyDescent="0.3">
      <c r="A87" s="4" t="s">
        <v>27</v>
      </c>
      <c r="B87" s="5"/>
      <c r="C87" s="5"/>
      <c r="D87" s="37">
        <f>SQRT(D86^2+E86^2+F86^2)</f>
        <v>0.70958931784527668</v>
      </c>
      <c r="E87" s="5"/>
      <c r="F87" s="5"/>
      <c r="G87" s="131">
        <f>G86*PI()/180*1000</f>
        <v>-1.2740903539559916</v>
      </c>
      <c r="H87" s="132">
        <f>H86*PI()/180*1000</f>
        <v>-0.75049157835756186</v>
      </c>
      <c r="I87" s="132">
        <f>I86*PI()/180*1000</f>
        <v>0.41887902047863895</v>
      </c>
      <c r="J87" s="130">
        <f>SQRT(G87^2+H87^2+I87^2)</f>
        <v>1.5368810861698026</v>
      </c>
      <c r="L87">
        <v>308.02999999999997</v>
      </c>
      <c r="M87">
        <v>363.94</v>
      </c>
    </row>
    <row r="88" spans="1:13" x14ac:dyDescent="0.25">
      <c r="A88" s="1" t="s">
        <v>28</v>
      </c>
      <c r="B88" s="2"/>
      <c r="C88" s="2" t="s">
        <v>25</v>
      </c>
      <c r="D88" s="21">
        <v>246.16</v>
      </c>
      <c r="E88" s="22">
        <v>0.42</v>
      </c>
      <c r="F88" s="22">
        <v>92.68</v>
      </c>
      <c r="G88" s="23">
        <v>0</v>
      </c>
      <c r="H88" s="22">
        <v>0</v>
      </c>
      <c r="I88" s="22">
        <v>0</v>
      </c>
      <c r="J88" s="24">
        <v>0.02</v>
      </c>
      <c r="L88">
        <v>706.7</v>
      </c>
      <c r="M88">
        <v>769.15</v>
      </c>
    </row>
    <row r="89" spans="1:13" x14ac:dyDescent="0.25">
      <c r="A89" s="4"/>
      <c r="B89" s="5"/>
      <c r="C89" s="5"/>
      <c r="D89" s="25">
        <f>$K$1-D88</f>
        <v>-0.78999999999999204</v>
      </c>
      <c r="E89" s="5">
        <f>$L$1-E88</f>
        <v>-0.13999999999999996</v>
      </c>
      <c r="F89" s="5">
        <f>$M$1-F88</f>
        <v>-0.28400000000000603</v>
      </c>
      <c r="G89" s="4">
        <f>$N$1-G88</f>
        <v>0.15</v>
      </c>
      <c r="H89" s="5">
        <f>$O$1-H88</f>
        <v>90.01</v>
      </c>
      <c r="I89" s="5">
        <f>$P$1-I88</f>
        <v>0.2</v>
      </c>
      <c r="J89" s="26"/>
      <c r="L89">
        <v>740.35</v>
      </c>
      <c r="M89">
        <v>1238.6199999999999</v>
      </c>
    </row>
    <row r="90" spans="1:13" ht="15.75" thickBot="1" x14ac:dyDescent="0.3">
      <c r="A90" s="4"/>
      <c r="B90" s="5"/>
      <c r="C90" s="5"/>
      <c r="D90" s="37">
        <f>SQRT(D89^2+E89^2+F89^2)</f>
        <v>0.85109106445784688</v>
      </c>
      <c r="E90" s="5"/>
      <c r="F90" s="5"/>
      <c r="G90" s="131"/>
      <c r="H90" s="132"/>
      <c r="I90" s="132"/>
      <c r="J90" s="130"/>
      <c r="L90">
        <v>276.41000000000003</v>
      </c>
      <c r="M90">
        <v>1226.73</v>
      </c>
    </row>
    <row r="91" spans="1:13" x14ac:dyDescent="0.25">
      <c r="A91" s="1" t="s">
        <v>23</v>
      </c>
      <c r="B91" s="2"/>
      <c r="C91" s="2" t="s">
        <v>24</v>
      </c>
      <c r="D91" s="21">
        <v>990.17</v>
      </c>
      <c r="E91" s="22">
        <v>1697.87</v>
      </c>
      <c r="F91" s="22">
        <v>40.869999999999997</v>
      </c>
      <c r="G91" s="23">
        <v>-134.893</v>
      </c>
      <c r="H91" s="22">
        <v>0.16700000000000001</v>
      </c>
      <c r="I91" s="22">
        <v>8.8999999999999996E-2</v>
      </c>
      <c r="J91" s="24">
        <v>0.04</v>
      </c>
      <c r="L91">
        <v>-19.239999999999998</v>
      </c>
      <c r="M91">
        <v>826.56</v>
      </c>
    </row>
    <row r="92" spans="1:13" x14ac:dyDescent="0.25">
      <c r="A92" s="4">
        <v>43290</v>
      </c>
      <c r="B92" s="5"/>
      <c r="C92" s="5"/>
      <c r="D92" s="25">
        <f>$D$1-D91</f>
        <v>0.24800000000004729</v>
      </c>
      <c r="E92" s="5">
        <f>$E$1-E91</f>
        <v>-0.22199999999997999</v>
      </c>
      <c r="F92" s="5">
        <f>$F$1-F91</f>
        <v>-0.43299999999999983</v>
      </c>
      <c r="G92" s="4">
        <f>$G$1-G91</f>
        <v>-6.6000000000002501E-2</v>
      </c>
      <c r="H92" s="5">
        <f>$H$1-H91</f>
        <v>-4.4000000000000011E-2</v>
      </c>
      <c r="I92" s="5">
        <f>$I$1-I91</f>
        <v>1.9000000000000003E-2</v>
      </c>
      <c r="J92" s="26"/>
      <c r="L92">
        <v>197.23</v>
      </c>
      <c r="M92">
        <v>269.81</v>
      </c>
    </row>
    <row r="93" spans="1:13" ht="15.75" thickBot="1" x14ac:dyDescent="0.3">
      <c r="A93" s="4" t="s">
        <v>30</v>
      </c>
      <c r="B93" s="5"/>
      <c r="C93" s="5"/>
      <c r="D93" s="37">
        <f>SQRT(D92^2+E92^2+F92^2)</f>
        <v>0.54614741599682992</v>
      </c>
      <c r="E93" s="5"/>
      <c r="F93" s="5"/>
      <c r="G93" s="131">
        <f>G92*PI()/180*1000</f>
        <v>-1.1519173063163013</v>
      </c>
      <c r="H93" s="132">
        <f>H92*PI()/180*1000</f>
        <v>-0.76794487087750518</v>
      </c>
      <c r="I93" s="132">
        <f>I92*PI()/180*1000</f>
        <v>0.33161255787892263</v>
      </c>
      <c r="J93" s="130">
        <f>SQRT(G93^2+H93^2+I93^2)</f>
        <v>1.4235939357278371</v>
      </c>
      <c r="L93">
        <v>52.36</v>
      </c>
      <c r="M93">
        <v>-81.709999999999994</v>
      </c>
    </row>
    <row r="94" spans="1:13" x14ac:dyDescent="0.25">
      <c r="A94" s="1" t="s">
        <v>29</v>
      </c>
      <c r="B94" s="2"/>
      <c r="C94" s="2" t="s">
        <v>25</v>
      </c>
      <c r="D94" s="21">
        <v>246.01</v>
      </c>
      <c r="E94" s="22">
        <v>0.33</v>
      </c>
      <c r="F94" s="22">
        <v>92.46</v>
      </c>
      <c r="G94" s="23">
        <v>0</v>
      </c>
      <c r="H94" s="22">
        <v>0</v>
      </c>
      <c r="I94" s="22">
        <v>0</v>
      </c>
      <c r="J94" s="24">
        <v>0.01</v>
      </c>
      <c r="L94">
        <v>399.34</v>
      </c>
      <c r="M94">
        <v>-466.04</v>
      </c>
    </row>
    <row r="95" spans="1:13" x14ac:dyDescent="0.25">
      <c r="A95" s="4"/>
      <c r="B95" s="5"/>
      <c r="C95" s="5"/>
      <c r="D95" s="25">
        <f>$K$1-D94</f>
        <v>-0.63999999999998636</v>
      </c>
      <c r="E95" s="5">
        <f>$L$1-E94</f>
        <v>-4.9999999999999989E-2</v>
      </c>
      <c r="F95" s="5">
        <f>$M$1-F94</f>
        <v>-6.3999999999992951E-2</v>
      </c>
      <c r="G95" s="4">
        <f>$N$1-G94</f>
        <v>0.15</v>
      </c>
      <c r="H95" s="5">
        <f>$O$1-H94</f>
        <v>90.01</v>
      </c>
      <c r="I95" s="5">
        <f>$P$1-I94</f>
        <v>0.2</v>
      </c>
      <c r="J95" s="26"/>
    </row>
    <row r="96" spans="1:13" x14ac:dyDescent="0.25">
      <c r="A96" s="4"/>
      <c r="B96" s="5"/>
      <c r="C96" s="5"/>
      <c r="D96" s="37">
        <f>SQRT(D95^2+E95^2+F95^2)</f>
        <v>0.6451325445208772</v>
      </c>
      <c r="E96" s="5"/>
      <c r="F96" s="5"/>
      <c r="G96" s="131"/>
      <c r="H96" s="132"/>
      <c r="I96" s="132"/>
      <c r="J96" s="130"/>
    </row>
    <row r="97" spans="1:21" ht="15.75" thickBot="1" x14ac:dyDescent="0.3"/>
    <row r="98" spans="1:21" x14ac:dyDescent="0.25">
      <c r="A98" s="1">
        <v>43290</v>
      </c>
      <c r="B98" s="2"/>
      <c r="C98" s="2" t="s">
        <v>407</v>
      </c>
      <c r="D98" s="21">
        <v>989.95</v>
      </c>
      <c r="E98" s="22">
        <v>1698.17</v>
      </c>
      <c r="F98" s="22">
        <v>41.34</v>
      </c>
      <c r="G98" s="23">
        <v>-134.886</v>
      </c>
      <c r="H98" s="22">
        <v>0.16700000000000001</v>
      </c>
      <c r="I98" s="22">
        <v>8.1000000000000003E-2</v>
      </c>
      <c r="J98" s="24">
        <v>0.1</v>
      </c>
      <c r="K98" s="2">
        <v>246.09</v>
      </c>
      <c r="L98" s="2">
        <v>0.23</v>
      </c>
      <c r="M98" s="2">
        <v>92.46</v>
      </c>
      <c r="N98" s="13">
        <v>0</v>
      </c>
      <c r="O98" s="2">
        <v>0</v>
      </c>
      <c r="P98" s="2">
        <v>0</v>
      </c>
      <c r="Q98" s="3">
        <v>0.02</v>
      </c>
    </row>
    <row r="99" spans="1:21" x14ac:dyDescent="0.25">
      <c r="A99" s="200"/>
      <c r="B99" s="5"/>
      <c r="C99" s="5" t="s">
        <v>408</v>
      </c>
      <c r="D99" s="25">
        <f>$D$1-D98</f>
        <v>0.46799999999996089</v>
      </c>
      <c r="E99" s="5">
        <f>$E$1-E98</f>
        <v>-0.52200000000016189</v>
      </c>
      <c r="F99" s="5">
        <f>$F$1-F98</f>
        <v>-0.9030000000000058</v>
      </c>
      <c r="G99" s="4">
        <f>$G$1-G98</f>
        <v>-7.3000000000007503E-2</v>
      </c>
      <c r="H99" s="5">
        <f>$H$1-H98</f>
        <v>-4.4000000000000011E-2</v>
      </c>
      <c r="I99" s="5">
        <f>$I$1-I98</f>
        <v>2.6999999999999996E-2</v>
      </c>
      <c r="J99" s="26"/>
      <c r="K99" s="5">
        <f>$K$1-K98</f>
        <v>-0.71999999999999886</v>
      </c>
      <c r="L99" s="5">
        <f>$L$1-L98</f>
        <v>5.0000000000000017E-2</v>
      </c>
      <c r="M99" s="5">
        <f>$M$1-M98</f>
        <v>-6.3999999999992951E-2</v>
      </c>
      <c r="N99" s="4">
        <f>$N$1-N98</f>
        <v>0.15</v>
      </c>
      <c r="O99" s="5">
        <f>$O$1-O98</f>
        <v>90.01</v>
      </c>
      <c r="P99" s="5">
        <f>$P$1-P98</f>
        <v>0.2</v>
      </c>
      <c r="Q99" s="6"/>
    </row>
    <row r="100" spans="1:21" ht="15.75" thickBot="1" x14ac:dyDescent="0.3">
      <c r="A100" s="4"/>
      <c r="B100" s="5"/>
      <c r="C100" s="5"/>
      <c r="D100" s="37">
        <f>SQRT(D99^2+E99^2+F99^2)</f>
        <v>1.1432047060785495</v>
      </c>
      <c r="E100" s="5"/>
      <c r="F100" s="5"/>
      <c r="G100" s="131">
        <f>G99*PI()/180*1000</f>
        <v>-1.2740903539559916</v>
      </c>
      <c r="H100" s="132">
        <f>H99*PI()/180*1000</f>
        <v>-0.76794487087750518</v>
      </c>
      <c r="I100" s="132">
        <f>I99*PI()/180*1000</f>
        <v>0.47123889803846886</v>
      </c>
      <c r="J100" s="130">
        <f>SQRT(G100^2+H100^2+I100^2)</f>
        <v>1.5604844291998821</v>
      </c>
      <c r="K100" s="37">
        <f>SQRT(K99^2+L99^2+M99^2)</f>
        <v>0.72456607704197518</v>
      </c>
      <c r="L100" s="5"/>
      <c r="M100" s="5"/>
      <c r="N100" s="4"/>
      <c r="O100" s="5"/>
      <c r="P100" s="5"/>
      <c r="Q100" s="6"/>
    </row>
    <row r="101" spans="1:21" x14ac:dyDescent="0.25">
      <c r="A101" s="1">
        <f>A98</f>
        <v>43290</v>
      </c>
      <c r="B101" s="2"/>
      <c r="C101" s="2" t="s">
        <v>406</v>
      </c>
      <c r="D101" s="21">
        <v>989.89</v>
      </c>
      <c r="E101" s="22">
        <v>1698.27</v>
      </c>
      <c r="F101" s="22">
        <v>40.92</v>
      </c>
      <c r="G101" s="23">
        <v>-134.88300000000001</v>
      </c>
      <c r="H101" s="22">
        <v>0.17</v>
      </c>
      <c r="I101" s="22">
        <v>8.1000000000000003E-2</v>
      </c>
      <c r="J101" s="24">
        <v>0.12</v>
      </c>
      <c r="K101" s="2">
        <v>246.05</v>
      </c>
      <c r="L101" s="2">
        <v>0.18</v>
      </c>
      <c r="M101" s="2">
        <v>92.55</v>
      </c>
      <c r="N101" s="13">
        <v>0</v>
      </c>
      <c r="O101" s="2">
        <v>0</v>
      </c>
      <c r="P101" s="2">
        <v>0</v>
      </c>
      <c r="Q101" s="3">
        <v>0.03</v>
      </c>
    </row>
    <row r="102" spans="1:21" x14ac:dyDescent="0.25">
      <c r="A102" s="200"/>
      <c r="B102" s="5"/>
      <c r="C102" s="5" t="s">
        <v>409</v>
      </c>
      <c r="D102" s="25">
        <f>$D$1-D101</f>
        <v>0.52800000000002001</v>
      </c>
      <c r="E102" s="5">
        <f>$E$1-E101</f>
        <v>-0.62200000000007094</v>
      </c>
      <c r="F102" s="5">
        <f>$F$1-F101</f>
        <v>-0.48300000000000409</v>
      </c>
      <c r="G102" s="4">
        <f>$G$1-G101</f>
        <v>-7.5999999999993406E-2</v>
      </c>
      <c r="H102" s="5">
        <f>$H$1-H101</f>
        <v>-4.7000000000000014E-2</v>
      </c>
      <c r="I102" s="5">
        <f>$I$1-I101</f>
        <v>2.6999999999999996E-2</v>
      </c>
      <c r="J102" s="26"/>
      <c r="K102" s="5">
        <f>$K$1-K101</f>
        <v>-0.68000000000000682</v>
      </c>
      <c r="L102" s="5">
        <f>$L$1-L101</f>
        <v>0.10000000000000003</v>
      </c>
      <c r="M102" s="5">
        <f>$M$1-M101</f>
        <v>-0.15399999999999636</v>
      </c>
      <c r="N102" s="4">
        <f>$N$1-N101</f>
        <v>0.15</v>
      </c>
      <c r="O102" s="5">
        <f>$O$1-O101</f>
        <v>90.01</v>
      </c>
      <c r="P102" s="5">
        <f>$P$1-P101</f>
        <v>0.2</v>
      </c>
      <c r="Q102" s="6"/>
    </row>
    <row r="103" spans="1:21" x14ac:dyDescent="0.25">
      <c r="A103" s="4"/>
      <c r="B103" s="5"/>
      <c r="C103" s="5"/>
      <c r="D103" s="37">
        <f>SQRT(D102^2+E102^2+F102^2)</f>
        <v>0.94813342942863976</v>
      </c>
      <c r="E103" s="5"/>
      <c r="F103" s="5"/>
      <c r="G103" s="131">
        <f>G102*PI()/180*1000</f>
        <v>-1.3264502315155755</v>
      </c>
      <c r="H103" s="132">
        <f>H102*PI()/180*1000</f>
        <v>-0.82030474843733503</v>
      </c>
      <c r="I103" s="132">
        <f>I102*PI()/180*1000</f>
        <v>0.47123889803846886</v>
      </c>
      <c r="J103" s="130">
        <f>SQRT(G103^2+H103^2+I103^2)</f>
        <v>1.6292440566167714</v>
      </c>
      <c r="K103" s="37">
        <f>SQRT(K102^2+L102^2+M102^2)</f>
        <v>0.70435502411781536</v>
      </c>
      <c r="L103" s="5"/>
      <c r="M103" s="5"/>
      <c r="N103" s="4"/>
      <c r="O103" s="5"/>
      <c r="P103" s="5"/>
      <c r="Q103" s="6"/>
    </row>
    <row r="104" spans="1:21" ht="15.75" thickBot="1" x14ac:dyDescent="0.3">
      <c r="A104" s="43" t="s">
        <v>43</v>
      </c>
      <c r="C104" t="s">
        <v>63</v>
      </c>
      <c r="S104" s="42" t="s">
        <v>39</v>
      </c>
    </row>
    <row r="105" spans="1:21" x14ac:dyDescent="0.25">
      <c r="A105" s="1">
        <v>43291</v>
      </c>
      <c r="B105" s="2"/>
      <c r="C105" s="2" t="s">
        <v>34</v>
      </c>
      <c r="D105" s="21">
        <v>989.92</v>
      </c>
      <c r="E105" s="22">
        <v>1698.2</v>
      </c>
      <c r="F105" s="22">
        <v>40.94</v>
      </c>
      <c r="G105" s="23">
        <v>-134.886</v>
      </c>
      <c r="H105" s="22">
        <v>0.16500000000000001</v>
      </c>
      <c r="I105" s="22">
        <v>0.08</v>
      </c>
      <c r="J105" s="24">
        <v>0.11</v>
      </c>
      <c r="K105" s="2">
        <v>246.07</v>
      </c>
      <c r="L105" s="2">
        <v>0.24</v>
      </c>
      <c r="M105" s="2">
        <v>92.43</v>
      </c>
      <c r="N105" s="13">
        <v>0</v>
      </c>
      <c r="O105" s="2">
        <v>0</v>
      </c>
      <c r="P105" s="2">
        <v>0</v>
      </c>
      <c r="Q105" s="3">
        <v>0.03</v>
      </c>
      <c r="S105">
        <v>0.09</v>
      </c>
      <c r="T105">
        <v>-0.04</v>
      </c>
      <c r="U105">
        <v>0.03</v>
      </c>
    </row>
    <row r="106" spans="1:21" x14ac:dyDescent="0.25">
      <c r="A106" s="4"/>
      <c r="B106" s="5"/>
      <c r="C106" s="5" t="s">
        <v>35</v>
      </c>
      <c r="D106" s="25">
        <f>$D$1-D105</f>
        <v>0.49800000000004729</v>
      </c>
      <c r="E106" s="5">
        <f>$E$1-E105</f>
        <v>-0.55200000000013461</v>
      </c>
      <c r="F106" s="5">
        <f>$F$1-F105</f>
        <v>-0.50300000000000011</v>
      </c>
      <c r="G106" s="4">
        <f>$G$1-G105</f>
        <v>-7.3000000000007503E-2</v>
      </c>
      <c r="H106" s="5">
        <f>$H$1-H105</f>
        <v>-4.200000000000001E-2</v>
      </c>
      <c r="I106" s="5">
        <f>$I$1-I105</f>
        <v>2.7999999999999997E-2</v>
      </c>
      <c r="J106" s="26"/>
      <c r="K106" s="5">
        <f>$K$1-K105</f>
        <v>-0.69999999999998863</v>
      </c>
      <c r="L106" s="5">
        <f>$L$1-L105</f>
        <v>4.0000000000000036E-2</v>
      </c>
      <c r="M106" s="5">
        <f>$M$1-M105</f>
        <v>-3.4000000000006025E-2</v>
      </c>
      <c r="N106" s="4">
        <f>$N$1-N105</f>
        <v>0.15</v>
      </c>
      <c r="O106" s="5">
        <f>$O$1-O105</f>
        <v>90.01</v>
      </c>
      <c r="P106" s="5">
        <f>$P$1-P105</f>
        <v>0.2</v>
      </c>
      <c r="Q106" s="6"/>
      <c r="S106">
        <v>0</v>
      </c>
      <c r="T106">
        <v>0.05</v>
      </c>
      <c r="U106">
        <v>0</v>
      </c>
    </row>
    <row r="107" spans="1:21" ht="15.75" thickBot="1" x14ac:dyDescent="0.3">
      <c r="A107" s="4"/>
      <c r="B107" s="5"/>
      <c r="C107" s="5"/>
      <c r="D107" s="37">
        <f>SQRT(D106^2+E106^2+F106^2)</f>
        <v>0.89761740179220895</v>
      </c>
      <c r="E107" s="5"/>
      <c r="F107" s="5"/>
      <c r="G107" s="131">
        <f>G106*PI()/180*1000</f>
        <v>-1.2740903539559916</v>
      </c>
      <c r="H107" s="132">
        <f>H106*PI()/180*1000</f>
        <v>-0.73303828583761865</v>
      </c>
      <c r="I107" s="132">
        <f>I106*PI()/180*1000</f>
        <v>0.48869219055841223</v>
      </c>
      <c r="J107" s="130">
        <f>SQRT(G107^2+H107^2+I107^2)</f>
        <v>1.5490227292264751</v>
      </c>
      <c r="K107" s="37">
        <f>SQRT(K106^2+L106^2+M106^2)</f>
        <v>0.70196581113326628</v>
      </c>
      <c r="L107" s="5"/>
      <c r="M107" s="5"/>
      <c r="N107" s="4"/>
      <c r="O107" s="5"/>
      <c r="P107" s="5"/>
      <c r="Q107" s="6"/>
      <c r="S107">
        <v>0.11</v>
      </c>
      <c r="T107">
        <v>-0.19</v>
      </c>
      <c r="U107">
        <v>-0.04</v>
      </c>
    </row>
    <row r="108" spans="1:21" x14ac:dyDescent="0.25">
      <c r="A108" s="1">
        <f>A105</f>
        <v>43291</v>
      </c>
      <c r="B108" s="2"/>
      <c r="C108" s="2" t="s">
        <v>34</v>
      </c>
      <c r="D108" s="21">
        <v>989.9</v>
      </c>
      <c r="E108" s="22">
        <v>1698.22</v>
      </c>
      <c r="F108" s="22">
        <v>40.96</v>
      </c>
      <c r="G108" s="23">
        <v>-134.88499999999999</v>
      </c>
      <c r="H108" s="22">
        <v>0.16600000000000001</v>
      </c>
      <c r="I108" s="22">
        <v>0.08</v>
      </c>
      <c r="J108" s="24">
        <v>0.11</v>
      </c>
      <c r="K108" s="2">
        <v>246.07</v>
      </c>
      <c r="L108" s="2">
        <v>0.25</v>
      </c>
      <c r="M108" s="2">
        <v>92.41</v>
      </c>
      <c r="N108" s="13">
        <v>0</v>
      </c>
      <c r="O108" s="2">
        <v>0</v>
      </c>
      <c r="P108" s="2">
        <v>0</v>
      </c>
      <c r="Q108" s="3">
        <v>0.03</v>
      </c>
    </row>
    <row r="109" spans="1:21" x14ac:dyDescent="0.25">
      <c r="A109" s="4"/>
      <c r="B109" s="5"/>
      <c r="C109" s="5" t="s">
        <v>36</v>
      </c>
      <c r="D109" s="25">
        <f>$D$1-D108</f>
        <v>0.5180000000000291</v>
      </c>
      <c r="E109" s="5">
        <f>$E$1-E108</f>
        <v>-0.57200000000011642</v>
      </c>
      <c r="F109" s="5">
        <f>$F$1-F108</f>
        <v>-0.52300000000000324</v>
      </c>
      <c r="G109" s="4">
        <f>$G$1-G108</f>
        <v>-7.4000000000012278E-2</v>
      </c>
      <c r="H109" s="5">
        <f>$H$1-H108</f>
        <v>-4.300000000000001E-2</v>
      </c>
      <c r="I109" s="5">
        <f>$I$1-I108</f>
        <v>2.7999999999999997E-2</v>
      </c>
      <c r="J109" s="26"/>
      <c r="K109" s="5">
        <f>$K$1-K108</f>
        <v>-0.69999999999998863</v>
      </c>
      <c r="L109" s="5">
        <f>$L$1-L108</f>
        <v>3.0000000000000027E-2</v>
      </c>
      <c r="M109" s="5">
        <f>$M$1-M108</f>
        <v>-1.3999999999995794E-2</v>
      </c>
      <c r="N109" s="4">
        <f>$N$1-N108</f>
        <v>0.15</v>
      </c>
      <c r="O109" s="5">
        <f>$O$1-O108</f>
        <v>90.01</v>
      </c>
      <c r="P109" s="5">
        <f>$P$1-P108</f>
        <v>0.2</v>
      </c>
      <c r="Q109" s="6"/>
    </row>
    <row r="110" spans="1:21" ht="15.75" thickBot="1" x14ac:dyDescent="0.3">
      <c r="A110" s="4"/>
      <c r="B110" s="5"/>
      <c r="C110" s="5"/>
      <c r="D110" s="37">
        <f>SQRT(D109^2+E109^2+F109^2)</f>
        <v>0.93222154019319181</v>
      </c>
      <c r="E110" s="5"/>
      <c r="F110" s="5"/>
      <c r="G110" s="131">
        <f>G109*PI()/180*1000</f>
        <v>-1.2915436464760182</v>
      </c>
      <c r="H110" s="132">
        <f>H109*PI()/180*1000</f>
        <v>-0.75049157835756186</v>
      </c>
      <c r="I110" s="132">
        <f>I109*PI()/180*1000</f>
        <v>0.48869219055841223</v>
      </c>
      <c r="J110" s="130">
        <f>SQRT(G110^2+H110^2+I110^2)</f>
        <v>1.5716687491488062</v>
      </c>
      <c r="K110" s="37">
        <f>SQRT(K109^2+L109^2+M109^2)</f>
        <v>0.70078241987080692</v>
      </c>
      <c r="L110" s="5"/>
      <c r="M110" s="5"/>
      <c r="N110" s="4"/>
      <c r="O110" s="5"/>
      <c r="P110" s="5"/>
      <c r="Q110" s="6"/>
    </row>
    <row r="111" spans="1:21" x14ac:dyDescent="0.25">
      <c r="A111" s="1">
        <f t="shared" ref="A111" si="16">A108</f>
        <v>43291</v>
      </c>
      <c r="B111" s="2"/>
      <c r="C111" s="2" t="s">
        <v>37</v>
      </c>
      <c r="D111" s="21">
        <v>989.95</v>
      </c>
      <c r="E111" s="22">
        <v>1698.24</v>
      </c>
      <c r="F111" s="22">
        <v>41.12</v>
      </c>
      <c r="G111" s="23">
        <v>-134.886</v>
      </c>
      <c r="H111" s="22">
        <v>0.16900000000000001</v>
      </c>
      <c r="I111" s="22">
        <v>0.08</v>
      </c>
      <c r="J111" s="24">
        <v>0.1</v>
      </c>
      <c r="K111" s="2">
        <v>246.02</v>
      </c>
      <c r="L111" s="2">
        <v>0.24</v>
      </c>
      <c r="M111" s="2">
        <v>92.39</v>
      </c>
      <c r="N111" s="13">
        <v>0</v>
      </c>
      <c r="O111" s="2">
        <v>0</v>
      </c>
      <c r="P111" s="2">
        <v>0</v>
      </c>
      <c r="Q111" s="3">
        <v>0.02</v>
      </c>
      <c r="S111">
        <v>-0.13</v>
      </c>
      <c r="T111">
        <v>0.09</v>
      </c>
      <c r="U111">
        <v>0.05</v>
      </c>
    </row>
    <row r="112" spans="1:21" x14ac:dyDescent="0.25">
      <c r="A112" s="4"/>
      <c r="B112" s="5"/>
      <c r="C112" s="5" t="s">
        <v>35</v>
      </c>
      <c r="D112" s="25">
        <f>$D$1-D111</f>
        <v>0.46799999999996089</v>
      </c>
      <c r="E112" s="5">
        <f>$E$1-E111</f>
        <v>-0.59200000000009823</v>
      </c>
      <c r="F112" s="5">
        <f>$F$1-F111</f>
        <v>-0.68299999999999983</v>
      </c>
      <c r="G112" s="4">
        <f>$G$1-G111</f>
        <v>-7.3000000000007503E-2</v>
      </c>
      <c r="H112" s="5">
        <f>$H$1-H111</f>
        <v>-4.6000000000000013E-2</v>
      </c>
      <c r="I112" s="5">
        <f>$I$1-I111</f>
        <v>2.7999999999999997E-2</v>
      </c>
      <c r="J112" s="26"/>
      <c r="K112" s="5">
        <f>$K$1-K111</f>
        <v>-0.65000000000000568</v>
      </c>
      <c r="L112" s="5">
        <f>$L$1-L111</f>
        <v>4.0000000000000036E-2</v>
      </c>
      <c r="M112" s="5">
        <f>$M$1-M111</f>
        <v>6.0000000000002274E-3</v>
      </c>
      <c r="N112" s="4">
        <f>$N$1-N111</f>
        <v>0.15</v>
      </c>
      <c r="O112" s="5">
        <f>$O$1-O111</f>
        <v>90.01</v>
      </c>
      <c r="P112" s="5">
        <f>$P$1-P111</f>
        <v>0.2</v>
      </c>
      <c r="Q112" s="6"/>
      <c r="S112">
        <v>0.01</v>
      </c>
      <c r="T112">
        <v>-0.01</v>
      </c>
      <c r="U112">
        <v>0.24</v>
      </c>
    </row>
    <row r="113" spans="1:21" ht="15.75" thickBot="1" x14ac:dyDescent="0.3">
      <c r="A113" s="4"/>
      <c r="B113" s="5"/>
      <c r="C113" s="5"/>
      <c r="D113" s="37">
        <f>SQRT(D112^2+E112^2+F112^2)</f>
        <v>1.0178295535108417</v>
      </c>
      <c r="E113" s="5"/>
      <c r="F113" s="5"/>
      <c r="G113" s="131">
        <f>G112*PI()/180*1000</f>
        <v>-1.2740903539559916</v>
      </c>
      <c r="H113" s="132">
        <f>H112*PI()/180*1000</f>
        <v>-0.80285145591739182</v>
      </c>
      <c r="I113" s="132">
        <f>I112*PI()/180*1000</f>
        <v>0.48869219055841223</v>
      </c>
      <c r="J113" s="130">
        <f>SQRT(G113^2+H113^2+I113^2)</f>
        <v>1.5832551112897628</v>
      </c>
      <c r="K113" s="37">
        <f>SQRT(K112^2+L112^2+M112^2)</f>
        <v>0.65125724564108101</v>
      </c>
      <c r="L113" s="5"/>
      <c r="M113" s="5"/>
      <c r="N113" s="4"/>
      <c r="O113" s="5"/>
      <c r="P113" s="5"/>
      <c r="Q113" s="6"/>
      <c r="S113">
        <v>0.16</v>
      </c>
      <c r="T113">
        <v>0.01</v>
      </c>
      <c r="U113">
        <v>7.0000000000000007E-2</v>
      </c>
    </row>
    <row r="114" spans="1:21" x14ac:dyDescent="0.25">
      <c r="A114" s="1">
        <f t="shared" ref="A114" si="17">A111</f>
        <v>43291</v>
      </c>
      <c r="B114" s="2"/>
      <c r="C114" s="2" t="s">
        <v>37</v>
      </c>
      <c r="D114" s="21">
        <v>989.95</v>
      </c>
      <c r="E114" s="22">
        <v>1698.24</v>
      </c>
      <c r="F114" s="22">
        <v>41.13</v>
      </c>
      <c r="G114" s="23">
        <v>-134.886</v>
      </c>
      <c r="H114" s="22">
        <v>0.16900000000000001</v>
      </c>
      <c r="I114" s="22">
        <v>0.08</v>
      </c>
      <c r="J114" s="24">
        <v>0.1</v>
      </c>
      <c r="K114" s="2">
        <v>246.02</v>
      </c>
      <c r="L114" s="2">
        <v>0.22</v>
      </c>
      <c r="M114" s="2">
        <v>92.39</v>
      </c>
      <c r="N114" s="13">
        <v>0</v>
      </c>
      <c r="O114" s="2">
        <v>0</v>
      </c>
      <c r="P114" s="2">
        <v>0</v>
      </c>
      <c r="Q114" s="3">
        <v>0.02</v>
      </c>
    </row>
    <row r="115" spans="1:21" x14ac:dyDescent="0.25">
      <c r="A115" s="4"/>
      <c r="B115" s="5"/>
      <c r="C115" s="5" t="s">
        <v>36</v>
      </c>
      <c r="D115" s="25">
        <f>$D$1-D114</f>
        <v>0.46799999999996089</v>
      </c>
      <c r="E115" s="5">
        <f>$E$1-E114</f>
        <v>-0.59200000000009823</v>
      </c>
      <c r="F115" s="5">
        <f>$F$1-F114</f>
        <v>-0.69300000000000495</v>
      </c>
      <c r="G115" s="4">
        <f>$G$1-G114</f>
        <v>-7.3000000000007503E-2</v>
      </c>
      <c r="H115" s="5">
        <f>$H$1-H114</f>
        <v>-4.6000000000000013E-2</v>
      </c>
      <c r="I115" s="5">
        <f>$I$1-I114</f>
        <v>2.7999999999999997E-2</v>
      </c>
      <c r="J115" s="26"/>
      <c r="K115" s="5">
        <f>$K$1-K114</f>
        <v>-0.65000000000000568</v>
      </c>
      <c r="L115" s="5">
        <f>$L$1-L114</f>
        <v>6.0000000000000026E-2</v>
      </c>
      <c r="M115" s="5">
        <f>$M$1-M114</f>
        <v>6.0000000000002274E-3</v>
      </c>
      <c r="N115" s="4">
        <f>$N$1-N114</f>
        <v>0.15</v>
      </c>
      <c r="O115" s="5">
        <f>$O$1-O114</f>
        <v>90.01</v>
      </c>
      <c r="P115" s="5">
        <f>$P$1-P114</f>
        <v>0.2</v>
      </c>
      <c r="Q115" s="6"/>
    </row>
    <row r="116" spans="1:21" ht="15.75" thickBot="1" x14ac:dyDescent="0.3">
      <c r="A116" s="4"/>
      <c r="B116" s="5"/>
      <c r="C116" s="5"/>
      <c r="D116" s="37">
        <f>SQRT(D115^2+E115^2+F115^2)</f>
        <v>1.0245667376994465</v>
      </c>
      <c r="E116" s="5"/>
      <c r="F116" s="5"/>
      <c r="G116" s="131">
        <f>G115*PI()/180*1000</f>
        <v>-1.2740903539559916</v>
      </c>
      <c r="H116" s="132">
        <f>H115*PI()/180*1000</f>
        <v>-0.80285145591739182</v>
      </c>
      <c r="I116" s="132">
        <f>I115*PI()/180*1000</f>
        <v>0.48869219055841223</v>
      </c>
      <c r="J116" s="130">
        <f>SQRT(G116^2+H116^2+I116^2)</f>
        <v>1.5832551112897628</v>
      </c>
      <c r="K116" s="37">
        <f>SQRT(K115^2+L115^2+M115^2)</f>
        <v>0.65279093130956356</v>
      </c>
      <c r="L116" s="5"/>
      <c r="M116" s="5"/>
      <c r="N116" s="4"/>
      <c r="O116" s="5"/>
      <c r="P116" s="5"/>
      <c r="Q116" s="6"/>
    </row>
    <row r="117" spans="1:21" x14ac:dyDescent="0.25">
      <c r="A117" s="1">
        <f t="shared" ref="A117" si="18">A114</f>
        <v>43291</v>
      </c>
      <c r="B117" s="2"/>
      <c r="C117" s="2" t="s">
        <v>38</v>
      </c>
      <c r="D117" s="21">
        <v>989.98</v>
      </c>
      <c r="E117" s="22">
        <v>1698.27</v>
      </c>
      <c r="F117" s="22">
        <v>41.29</v>
      </c>
      <c r="G117" s="23">
        <v>-134.886</v>
      </c>
      <c r="H117" s="22">
        <v>0.17299999999999999</v>
      </c>
      <c r="I117" s="22">
        <v>7.9000000000000001E-2</v>
      </c>
      <c r="J117" s="24">
        <v>0.11</v>
      </c>
      <c r="K117" s="2">
        <v>246</v>
      </c>
      <c r="L117" s="2">
        <v>0.2</v>
      </c>
      <c r="M117" s="2">
        <v>92.36</v>
      </c>
      <c r="N117" s="13">
        <v>0</v>
      </c>
      <c r="O117" s="2">
        <v>0</v>
      </c>
      <c r="P117" s="2">
        <v>0</v>
      </c>
      <c r="Q117" s="3">
        <v>0.03</v>
      </c>
      <c r="S117">
        <v>0.04</v>
      </c>
      <c r="T117">
        <v>-0.08</v>
      </c>
      <c r="U117">
        <v>0.04</v>
      </c>
    </row>
    <row r="118" spans="1:21" x14ac:dyDescent="0.25">
      <c r="A118" s="4"/>
      <c r="B118" s="5"/>
      <c r="C118" s="5" t="s">
        <v>35</v>
      </c>
      <c r="D118" s="25">
        <f>$D$1-D117</f>
        <v>0.43799999999998818</v>
      </c>
      <c r="E118" s="5">
        <f>$E$1-E117</f>
        <v>-0.62200000000007094</v>
      </c>
      <c r="F118" s="5">
        <f>$F$1-F117</f>
        <v>-0.85300000000000153</v>
      </c>
      <c r="G118" s="4">
        <f>$G$1-G117</f>
        <v>-7.3000000000007503E-2</v>
      </c>
      <c r="H118" s="5">
        <f>$H$1-H117</f>
        <v>-4.9999999999999989E-2</v>
      </c>
      <c r="I118" s="5">
        <f>$I$1-I117</f>
        <v>2.8999999999999998E-2</v>
      </c>
      <c r="J118" s="26"/>
      <c r="K118" s="5">
        <f>$K$1-K117</f>
        <v>-0.62999999999999545</v>
      </c>
      <c r="L118" s="5">
        <f>$L$1-L117</f>
        <v>8.0000000000000016E-2</v>
      </c>
      <c r="M118" s="5">
        <f>$M$1-M117</f>
        <v>3.6000000000001364E-2</v>
      </c>
      <c r="N118" s="4">
        <f>$N$1-N117</f>
        <v>0.15</v>
      </c>
      <c r="O118" s="5">
        <f>$O$1-O117</f>
        <v>90.01</v>
      </c>
      <c r="P118" s="5">
        <f>$P$1-P117</f>
        <v>0.2</v>
      </c>
      <c r="Q118" s="6"/>
      <c r="S118">
        <v>0.08</v>
      </c>
      <c r="T118">
        <v>-0.14000000000000001</v>
      </c>
      <c r="U118">
        <v>0.05</v>
      </c>
    </row>
    <row r="119" spans="1:21" ht="15.75" thickBot="1" x14ac:dyDescent="0.3">
      <c r="A119" s="4"/>
      <c r="B119" s="5"/>
      <c r="C119" s="5"/>
      <c r="D119" s="37">
        <f>SQRT(D118^2+E118^2+F118^2)</f>
        <v>1.1429510050741809</v>
      </c>
      <c r="E119" s="5"/>
      <c r="F119" s="5"/>
      <c r="G119" s="131">
        <f>G118*PI()/180*1000</f>
        <v>-1.2740903539559916</v>
      </c>
      <c r="H119" s="132">
        <f>H118*PI()/180*1000</f>
        <v>-0.87266462599716454</v>
      </c>
      <c r="I119" s="132">
        <f>I118*PI()/180*1000</f>
        <v>0.50614548307835561</v>
      </c>
      <c r="J119" s="130">
        <f>SQRT(G119^2+H119^2+I119^2)</f>
        <v>1.6251255427046543</v>
      </c>
      <c r="K119" s="37">
        <f>SQRT(K118^2+L118^2+M118^2)</f>
        <v>0.63607861149388945</v>
      </c>
      <c r="L119" s="5"/>
      <c r="M119" s="5"/>
      <c r="N119" s="4"/>
      <c r="O119" s="5"/>
      <c r="P119" s="5"/>
      <c r="Q119" s="6"/>
      <c r="S119">
        <v>0.08</v>
      </c>
      <c r="T119">
        <v>-0.22</v>
      </c>
      <c r="U119">
        <v>-0.02</v>
      </c>
    </row>
    <row r="120" spans="1:21" x14ac:dyDescent="0.25">
      <c r="A120" s="1">
        <f t="shared" ref="A120" si="19">A117</f>
        <v>43291</v>
      </c>
      <c r="B120" s="2"/>
      <c r="C120" s="2" t="s">
        <v>38</v>
      </c>
      <c r="D120" s="21">
        <v>989.98</v>
      </c>
      <c r="E120" s="22">
        <v>1698.27</v>
      </c>
      <c r="F120" s="22">
        <v>41.3</v>
      </c>
      <c r="G120" s="23">
        <v>-134.88499999999999</v>
      </c>
      <c r="H120" s="22">
        <v>0.17399999999999999</v>
      </c>
      <c r="I120" s="22">
        <v>7.9000000000000001E-2</v>
      </c>
      <c r="J120" s="24">
        <v>0.11</v>
      </c>
      <c r="K120" s="2">
        <v>245.99</v>
      </c>
      <c r="L120" s="2">
        <v>0.2</v>
      </c>
      <c r="M120" s="2">
        <v>92.36</v>
      </c>
      <c r="N120" s="13">
        <v>0</v>
      </c>
      <c r="O120" s="2">
        <v>0</v>
      </c>
      <c r="P120" s="2">
        <v>0</v>
      </c>
      <c r="Q120" s="3">
        <v>0.03</v>
      </c>
    </row>
    <row r="121" spans="1:21" x14ac:dyDescent="0.25">
      <c r="A121" s="4"/>
      <c r="B121" s="5"/>
      <c r="C121" s="5" t="s">
        <v>36</v>
      </c>
      <c r="D121" s="25">
        <f>$D$1-D120</f>
        <v>0.43799999999998818</v>
      </c>
      <c r="E121" s="5">
        <f>$E$1-E120</f>
        <v>-0.62200000000007094</v>
      </c>
      <c r="F121" s="5">
        <f>$F$1-F120</f>
        <v>-0.86299999999999955</v>
      </c>
      <c r="G121" s="4">
        <f>$G$1-G120</f>
        <v>-7.4000000000012278E-2</v>
      </c>
      <c r="H121" s="5">
        <f>$H$1-H120</f>
        <v>-5.099999999999999E-2</v>
      </c>
      <c r="I121" s="5">
        <f>$I$1-I120</f>
        <v>2.8999999999999998E-2</v>
      </c>
      <c r="J121" s="26"/>
      <c r="K121" s="5">
        <f>$K$1-K120</f>
        <v>-0.62000000000000455</v>
      </c>
      <c r="L121" s="5">
        <f>$L$1-L120</f>
        <v>8.0000000000000016E-2</v>
      </c>
      <c r="M121" s="5">
        <f>$M$1-M120</f>
        <v>3.6000000000001364E-2</v>
      </c>
      <c r="N121" s="4">
        <f>$N$1-N120</f>
        <v>0.15</v>
      </c>
      <c r="O121" s="5">
        <f>$O$1-O120</f>
        <v>90.01</v>
      </c>
      <c r="P121" s="5">
        <f>$P$1-P120</f>
        <v>0.2</v>
      </c>
      <c r="Q121" s="6"/>
    </row>
    <row r="122" spans="1:21" ht="15.75" thickBot="1" x14ac:dyDescent="0.3">
      <c r="A122" s="4"/>
      <c r="B122" s="5"/>
      <c r="C122" s="5"/>
      <c r="D122" s="37">
        <f>SQRT(D121^2+E121^2+F121^2)</f>
        <v>1.1504333965945517</v>
      </c>
      <c r="E122" s="5"/>
      <c r="F122" s="5"/>
      <c r="G122" s="131">
        <f>G121*PI()/180*1000</f>
        <v>-1.2915436464760182</v>
      </c>
      <c r="H122" s="132">
        <f>H121*PI()/180*1000</f>
        <v>-0.89011791851710786</v>
      </c>
      <c r="I122" s="132">
        <f>I121*PI()/180*1000</f>
        <v>0.50614548307835561</v>
      </c>
      <c r="J122" s="130">
        <f>SQRT(G122^2+H122^2+I122^2)</f>
        <v>1.6482045230062987</v>
      </c>
      <c r="K122" s="37">
        <f>SQRT(K121^2+L121^2+M121^2)</f>
        <v>0.62617569419453334</v>
      </c>
      <c r="L122" s="5"/>
      <c r="M122" s="5"/>
      <c r="N122" s="4"/>
      <c r="O122" s="5"/>
      <c r="P122" s="5"/>
      <c r="Q122" s="6"/>
    </row>
    <row r="123" spans="1:21" x14ac:dyDescent="0.25">
      <c r="A123" s="1">
        <f t="shared" ref="A123" si="20">A120</f>
        <v>43291</v>
      </c>
      <c r="B123" s="2"/>
      <c r="C123" s="2" t="s">
        <v>40</v>
      </c>
      <c r="D123" s="21">
        <v>990</v>
      </c>
      <c r="E123" s="22">
        <v>1698.3</v>
      </c>
      <c r="F123" s="22">
        <v>41.46</v>
      </c>
      <c r="G123" s="23">
        <v>-134.886</v>
      </c>
      <c r="H123" s="22">
        <v>0.17499999999999999</v>
      </c>
      <c r="I123" s="22">
        <v>7.9000000000000001E-2</v>
      </c>
      <c r="J123" s="24">
        <v>0.11</v>
      </c>
      <c r="K123" s="2">
        <v>245.92</v>
      </c>
      <c r="L123" s="2">
        <v>0.19</v>
      </c>
      <c r="M123" s="2">
        <v>92.32</v>
      </c>
      <c r="N123" s="13">
        <v>0</v>
      </c>
      <c r="O123" s="2">
        <v>0</v>
      </c>
      <c r="P123" s="2">
        <v>0</v>
      </c>
      <c r="Q123" s="3">
        <v>0.03</v>
      </c>
      <c r="S123">
        <v>0.01</v>
      </c>
      <c r="T123">
        <v>0.01</v>
      </c>
      <c r="U123">
        <v>0.02</v>
      </c>
    </row>
    <row r="124" spans="1:21" x14ac:dyDescent="0.25">
      <c r="A124" s="4"/>
      <c r="B124" s="5"/>
      <c r="C124" s="5" t="s">
        <v>35</v>
      </c>
      <c r="D124" s="25">
        <f>$D$1-D123</f>
        <v>0.41800000000000637</v>
      </c>
      <c r="E124" s="5">
        <f>$E$1-E123</f>
        <v>-0.65200000000004366</v>
      </c>
      <c r="F124" s="5">
        <f>$F$1-F123</f>
        <v>-1.0230000000000032</v>
      </c>
      <c r="G124" s="4">
        <f>$G$1-G123</f>
        <v>-7.3000000000007503E-2</v>
      </c>
      <c r="H124" s="5">
        <f>$H$1-H123</f>
        <v>-5.1999999999999991E-2</v>
      </c>
      <c r="I124" s="5">
        <f>$I$1-I123</f>
        <v>2.8999999999999998E-2</v>
      </c>
      <c r="J124" s="26"/>
      <c r="K124" s="5">
        <f>$K$1-K123</f>
        <v>-0.54999999999998295</v>
      </c>
      <c r="L124" s="5">
        <f>$L$1-L123</f>
        <v>9.0000000000000024E-2</v>
      </c>
      <c r="M124" s="5">
        <f>$M$1-M123</f>
        <v>7.6000000000007617E-2</v>
      </c>
      <c r="N124" s="4">
        <f>$N$1-N123</f>
        <v>0.15</v>
      </c>
      <c r="O124" s="5">
        <f>$O$1-O123</f>
        <v>90.01</v>
      </c>
      <c r="P124" s="5">
        <f>$P$1-P123</f>
        <v>0.2</v>
      </c>
      <c r="Q124" s="6"/>
      <c r="S124">
        <v>-0.04</v>
      </c>
      <c r="T124">
        <v>0.01</v>
      </c>
      <c r="U124">
        <v>0.01</v>
      </c>
    </row>
    <row r="125" spans="1:21" ht="15.75" thickBot="1" x14ac:dyDescent="0.3">
      <c r="A125" s="4"/>
      <c r="B125" s="5"/>
      <c r="C125" s="5"/>
      <c r="D125" s="37">
        <f>SQRT(D124^2+E124^2+F124^2)</f>
        <v>1.2831044384616823</v>
      </c>
      <c r="E125" s="5"/>
      <c r="F125" s="5"/>
      <c r="G125" s="131">
        <f>G124*PI()/180*1000</f>
        <v>-1.2740903539559916</v>
      </c>
      <c r="H125" s="132">
        <f>H124*PI()/180*1000</f>
        <v>-0.90757121103705118</v>
      </c>
      <c r="I125" s="132">
        <f>I124*PI()/180*1000</f>
        <v>0.50614548307835561</v>
      </c>
      <c r="J125" s="130">
        <f>SQRT(G125^2+H125^2+I125^2)</f>
        <v>1.6441335052809991</v>
      </c>
      <c r="K125" s="37">
        <f>SQRT(K124^2+L124^2+M124^2)</f>
        <v>0.56247311046838711</v>
      </c>
      <c r="L125" s="5"/>
      <c r="M125" s="5"/>
      <c r="N125" s="4"/>
      <c r="O125" s="5"/>
      <c r="P125" s="5"/>
      <c r="Q125" s="6"/>
      <c r="S125">
        <v>0.06</v>
      </c>
      <c r="T125">
        <v>-0.19</v>
      </c>
      <c r="U125">
        <v>-0.03</v>
      </c>
    </row>
    <row r="126" spans="1:21" x14ac:dyDescent="0.25">
      <c r="A126" s="1">
        <f t="shared" ref="A126" si="21">A123</f>
        <v>43291</v>
      </c>
      <c r="B126" s="2"/>
      <c r="C126" s="2" t="s">
        <v>40</v>
      </c>
      <c r="D126" s="21">
        <v>990.01</v>
      </c>
      <c r="E126" s="22">
        <v>1698.3</v>
      </c>
      <c r="F126" s="22">
        <v>41.49</v>
      </c>
      <c r="G126" s="23">
        <v>-134.886</v>
      </c>
      <c r="H126" s="22">
        <v>0.17499999999999999</v>
      </c>
      <c r="I126" s="22">
        <v>7.9000000000000001E-2</v>
      </c>
      <c r="J126" s="24">
        <v>0.11</v>
      </c>
      <c r="K126" s="2">
        <v>245.91</v>
      </c>
      <c r="L126" s="2">
        <v>0.17</v>
      </c>
      <c r="M126" s="2">
        <v>92.31</v>
      </c>
      <c r="N126" s="13">
        <v>0</v>
      </c>
      <c r="O126" s="2">
        <v>0</v>
      </c>
      <c r="P126" s="2">
        <v>0</v>
      </c>
      <c r="Q126" s="3">
        <v>0.03</v>
      </c>
    </row>
    <row r="127" spans="1:21" x14ac:dyDescent="0.25">
      <c r="A127" s="4"/>
      <c r="B127" s="5"/>
      <c r="C127" s="5" t="s">
        <v>36</v>
      </c>
      <c r="D127" s="25">
        <f>$D$1-D126</f>
        <v>0.40800000000001546</v>
      </c>
      <c r="E127" s="5">
        <f>$E$1-E126</f>
        <v>-0.65200000000004366</v>
      </c>
      <c r="F127" s="5">
        <f>$F$1-F126</f>
        <v>-1.0530000000000044</v>
      </c>
      <c r="G127" s="4">
        <f>$G$1-G126</f>
        <v>-7.3000000000007503E-2</v>
      </c>
      <c r="H127" s="5">
        <f>$H$1-H126</f>
        <v>-5.1999999999999991E-2</v>
      </c>
      <c r="I127" s="5">
        <f>$I$1-I126</f>
        <v>2.8999999999999998E-2</v>
      </c>
      <c r="J127" s="26"/>
      <c r="K127" s="5">
        <f>$K$1-K126</f>
        <v>-0.53999999999999204</v>
      </c>
      <c r="L127" s="5">
        <f>$L$1-L126</f>
        <v>0.11000000000000001</v>
      </c>
      <c r="M127" s="5">
        <f>$M$1-M126</f>
        <v>8.5999999999998522E-2</v>
      </c>
      <c r="N127" s="4">
        <f>$N$1-N126</f>
        <v>0.15</v>
      </c>
      <c r="O127" s="5">
        <f>$O$1-O126</f>
        <v>90.01</v>
      </c>
      <c r="P127" s="5">
        <f>$P$1-P126</f>
        <v>0.2</v>
      </c>
      <c r="Q127" s="6"/>
    </row>
    <row r="128" spans="1:21" x14ac:dyDescent="0.25">
      <c r="A128" s="4"/>
      <c r="B128" s="5"/>
      <c r="C128" s="5"/>
      <c r="D128" s="37">
        <f>SQRT(D127^2+E127^2+F127^2)</f>
        <v>1.3039850459265547</v>
      </c>
      <c r="E128" s="5"/>
      <c r="F128" s="5"/>
      <c r="G128" s="131">
        <f>G127*PI()/180*1000</f>
        <v>-1.2740903539559916</v>
      </c>
      <c r="H128" s="132">
        <f t="shared" ref="H128:I128" si="22">H127*PI()/180*1000</f>
        <v>-0.90757121103705118</v>
      </c>
      <c r="I128" s="132">
        <f t="shared" si="22"/>
        <v>0.50614548307835561</v>
      </c>
      <c r="J128" s="130">
        <f>SQRT(G128^2+H128^2+I128^2)</f>
        <v>1.6441335052809991</v>
      </c>
      <c r="K128" s="37">
        <f>SQRT(K127^2+L127^2+M127^2)</f>
        <v>0.55775980493397981</v>
      </c>
      <c r="L128" s="5"/>
      <c r="M128" s="5"/>
      <c r="N128" s="4"/>
      <c r="O128" s="5"/>
      <c r="P128" s="5"/>
      <c r="Q128" s="6"/>
    </row>
    <row r="129" spans="1:21" ht="15.75" thickBot="1" x14ac:dyDescent="0.3">
      <c r="A129" s="43" t="s">
        <v>44</v>
      </c>
      <c r="C129" s="58" t="s">
        <v>395</v>
      </c>
      <c r="G129" s="131"/>
      <c r="H129" s="132"/>
      <c r="I129" s="132"/>
      <c r="J129" s="130"/>
    </row>
    <row r="130" spans="1:21" x14ac:dyDescent="0.25">
      <c r="A130" s="1">
        <v>43292</v>
      </c>
      <c r="B130" s="2"/>
      <c r="C130" s="2" t="s">
        <v>401</v>
      </c>
      <c r="D130" s="21">
        <v>990.18</v>
      </c>
      <c r="E130" s="22">
        <v>1698.49</v>
      </c>
      <c r="F130" s="22">
        <v>41.88</v>
      </c>
      <c r="G130" s="23">
        <v>-134.886</v>
      </c>
      <c r="H130" s="22">
        <v>0.19700000000000001</v>
      </c>
      <c r="I130" s="22">
        <v>7.4999999999999997E-2</v>
      </c>
      <c r="J130" s="24">
        <v>0.13</v>
      </c>
      <c r="K130" s="45">
        <v>246.15</v>
      </c>
      <c r="L130" s="45">
        <v>0.19</v>
      </c>
      <c r="M130" s="45">
        <v>92.11</v>
      </c>
      <c r="N130" s="46">
        <v>0</v>
      </c>
      <c r="O130" s="45">
        <v>0</v>
      </c>
      <c r="P130" s="45">
        <v>0</v>
      </c>
      <c r="Q130" s="47">
        <v>0.03</v>
      </c>
    </row>
    <row r="131" spans="1:21" x14ac:dyDescent="0.25">
      <c r="A131" s="200"/>
      <c r="B131" s="5"/>
      <c r="C131" s="5" t="s">
        <v>330</v>
      </c>
      <c r="D131" s="25">
        <f>$D$1-D130</f>
        <v>0.23800000000005639</v>
      </c>
      <c r="E131" s="5">
        <f>$E$1-E130</f>
        <v>-0.84200000000009823</v>
      </c>
      <c r="F131" s="5">
        <f>$F$1-F130</f>
        <v>-1.4430000000000049</v>
      </c>
      <c r="G131" s="4">
        <f>$G$1-G130</f>
        <v>-7.3000000000007503E-2</v>
      </c>
      <c r="H131" s="5">
        <f>$H$1-H130</f>
        <v>-7.400000000000001E-2</v>
      </c>
      <c r="I131" s="5">
        <f>$I$1-I130</f>
        <v>3.3000000000000002E-2</v>
      </c>
      <c r="J131" s="26"/>
      <c r="K131" s="5">
        <f>$K$1-K130</f>
        <v>-0.78000000000000114</v>
      </c>
      <c r="L131" s="5">
        <f>$L$1-L130</f>
        <v>9.0000000000000024E-2</v>
      </c>
      <c r="M131" s="5">
        <f>$M$1-M130</f>
        <v>0.28600000000000136</v>
      </c>
      <c r="N131" s="4">
        <f>$N$1-N130</f>
        <v>0.15</v>
      </c>
      <c r="O131" s="5">
        <f>$O$1-O130</f>
        <v>90.01</v>
      </c>
      <c r="P131" s="5">
        <f>$P$1-P130</f>
        <v>0.2</v>
      </c>
      <c r="Q131" s="6"/>
    </row>
    <row r="132" spans="1:21" ht="15.75" thickBot="1" x14ac:dyDescent="0.3">
      <c r="A132" s="4"/>
      <c r="B132" s="5"/>
      <c r="C132" s="5"/>
      <c r="D132" s="37">
        <f>SQRT(D131^2+E131^2+F131^2)</f>
        <v>1.6875594804332694</v>
      </c>
      <c r="E132" s="5"/>
      <c r="F132" s="5"/>
      <c r="G132" s="131">
        <f>G131*PI()/180*1000</f>
        <v>-1.2740903539559916</v>
      </c>
      <c r="H132" s="132">
        <f>H131*PI()/180*1000</f>
        <v>-1.2915436464758039</v>
      </c>
      <c r="I132" s="132">
        <f>I131*PI()/180*1000</f>
        <v>0.57595865315812866</v>
      </c>
      <c r="J132" s="130">
        <f>SQRT(G132^2+H132^2+I132^2)</f>
        <v>1.9034493927980973</v>
      </c>
      <c r="K132" s="37">
        <f>SQRT(K131^2+L131^2+M131^2)</f>
        <v>0.83564107127402643</v>
      </c>
      <c r="L132" s="5"/>
      <c r="M132" s="5"/>
      <c r="N132" s="4"/>
      <c r="O132" s="5"/>
      <c r="P132" s="5"/>
      <c r="Q132" s="6"/>
    </row>
    <row r="133" spans="1:21" x14ac:dyDescent="0.25">
      <c r="A133" s="1">
        <f>A130</f>
        <v>43292</v>
      </c>
      <c r="B133" s="2"/>
      <c r="C133" s="2" t="s">
        <v>401</v>
      </c>
      <c r="D133" s="21">
        <v>990.31</v>
      </c>
      <c r="E133" s="22">
        <v>1698.59</v>
      </c>
      <c r="F133" s="22">
        <v>41.66</v>
      </c>
      <c r="G133" s="23">
        <v>-134.88399999999999</v>
      </c>
      <c r="H133" s="22">
        <v>0.20300000000000001</v>
      </c>
      <c r="I133" s="22">
        <v>7.9000000000000001E-2</v>
      </c>
      <c r="J133" s="24">
        <v>7.0000000000000007E-2</v>
      </c>
      <c r="K133" s="2">
        <v>246.07</v>
      </c>
      <c r="L133" s="2">
        <v>0.23</v>
      </c>
      <c r="M133" s="2">
        <v>92.14</v>
      </c>
      <c r="N133" s="13">
        <v>0</v>
      </c>
      <c r="O133" s="2">
        <v>0</v>
      </c>
      <c r="P133" s="2">
        <v>0</v>
      </c>
      <c r="Q133" s="3">
        <v>0.02</v>
      </c>
    </row>
    <row r="134" spans="1:21" x14ac:dyDescent="0.25">
      <c r="A134" s="4"/>
      <c r="B134" s="5"/>
      <c r="C134" s="5" t="s">
        <v>36</v>
      </c>
      <c r="D134" s="25">
        <f>$D$1-D133</f>
        <v>0.10800000000006094</v>
      </c>
      <c r="E134" s="5">
        <f>$E$1-E133</f>
        <v>-0.94200000000000728</v>
      </c>
      <c r="F134" s="5">
        <f>$F$1-F133</f>
        <v>-1.222999999999999</v>
      </c>
      <c r="G134" s="4">
        <f>$G$1-G133</f>
        <v>-7.5000000000017053E-2</v>
      </c>
      <c r="H134" s="5">
        <f>$H$1-H133</f>
        <v>-8.0000000000000016E-2</v>
      </c>
      <c r="I134" s="5">
        <f>$I$1-I133</f>
        <v>2.8999999999999998E-2</v>
      </c>
      <c r="J134" s="26"/>
      <c r="K134" s="5">
        <f>$K$1-K133</f>
        <v>-0.69999999999998863</v>
      </c>
      <c r="L134" s="5">
        <f>$L$1-L133</f>
        <v>5.0000000000000017E-2</v>
      </c>
      <c r="M134" s="5">
        <f>$M$1-M133</f>
        <v>0.25600000000000023</v>
      </c>
      <c r="N134" s="4">
        <f>$N$1-N133</f>
        <v>0.15</v>
      </c>
      <c r="O134" s="5">
        <f>$O$1-O133</f>
        <v>90.01</v>
      </c>
      <c r="P134" s="5">
        <f>$P$1-P133</f>
        <v>0.2</v>
      </c>
      <c r="Q134" s="6"/>
    </row>
    <row r="135" spans="1:21" ht="15.75" thickBot="1" x14ac:dyDescent="0.3">
      <c r="A135" s="4"/>
      <c r="B135" s="5"/>
      <c r="C135" s="5"/>
      <c r="D135" s="37">
        <f>SQRT(D134^2+E134^2+F134^2)</f>
        <v>1.5475002423263216</v>
      </c>
      <c r="E135" s="5"/>
      <c r="F135" s="5"/>
      <c r="G135" s="131">
        <f>G134*PI()/180*1000</f>
        <v>-1.3089969389960447</v>
      </c>
      <c r="H135" s="132">
        <f>H134*PI()/180*1000</f>
        <v>-1.3962634015954638</v>
      </c>
      <c r="I135" s="132">
        <f>I134*PI()/180*1000</f>
        <v>0.50614548307835561</v>
      </c>
      <c r="J135" s="130">
        <f>SQRT(G135^2+H135^2+I135^2)</f>
        <v>1.9796988970488851</v>
      </c>
      <c r="K135" s="37">
        <f>SQRT(K134^2+L134^2+M134^2)</f>
        <v>0.7470180720705385</v>
      </c>
      <c r="L135" s="5"/>
      <c r="M135" s="5"/>
      <c r="N135" s="4"/>
      <c r="O135" s="5"/>
      <c r="P135" s="5"/>
      <c r="Q135" s="6"/>
      <c r="T135">
        <v>497.75</v>
      </c>
      <c r="U135">
        <v>-627.98</v>
      </c>
    </row>
    <row r="136" spans="1:21" x14ac:dyDescent="0.25">
      <c r="A136" s="1">
        <f t="shared" ref="A136" si="23">A133</f>
        <v>43292</v>
      </c>
      <c r="B136" s="2"/>
      <c r="C136" s="2" t="s">
        <v>402</v>
      </c>
      <c r="D136" s="21">
        <v>990.31</v>
      </c>
      <c r="E136" s="22">
        <v>1698.59</v>
      </c>
      <c r="F136" s="22">
        <v>42.17</v>
      </c>
      <c r="G136" s="23">
        <v>-134.88399999999999</v>
      </c>
      <c r="H136" s="22">
        <v>0.20499999999999999</v>
      </c>
      <c r="I136" s="22">
        <v>7.9000000000000001E-2</v>
      </c>
      <c r="J136" s="24">
        <v>0.09</v>
      </c>
      <c r="K136" s="2">
        <v>245.98</v>
      </c>
      <c r="L136" s="2">
        <v>0.22</v>
      </c>
      <c r="M136" s="2">
        <v>92.07</v>
      </c>
      <c r="N136" s="13">
        <v>0</v>
      </c>
      <c r="O136" s="2">
        <v>0</v>
      </c>
      <c r="P136" s="2">
        <v>0</v>
      </c>
      <c r="Q136" s="3">
        <v>0.02</v>
      </c>
      <c r="T136">
        <v>465.12</v>
      </c>
      <c r="U136">
        <v>145.75</v>
      </c>
    </row>
    <row r="137" spans="1:21" x14ac:dyDescent="0.25">
      <c r="A137" s="4"/>
      <c r="B137" s="5"/>
      <c r="C137" s="5" t="s">
        <v>35</v>
      </c>
      <c r="D137" s="25">
        <f>$D$1-D136</f>
        <v>0.10800000000006094</v>
      </c>
      <c r="E137" s="5">
        <f>$E$1-E136</f>
        <v>-0.94200000000000728</v>
      </c>
      <c r="F137" s="5">
        <f>$F$1-F136</f>
        <v>-1.7330000000000041</v>
      </c>
      <c r="G137" s="4">
        <f>$G$1-G136</f>
        <v>-7.5000000000017053E-2</v>
      </c>
      <c r="H137" s="5">
        <f>$H$1-H136</f>
        <v>-8.199999999999999E-2</v>
      </c>
      <c r="I137" s="5">
        <f>$I$1-I136</f>
        <v>2.8999999999999998E-2</v>
      </c>
      <c r="J137" s="26"/>
      <c r="K137" s="5">
        <f>$K$1-K136</f>
        <v>-0.60999999999998522</v>
      </c>
      <c r="L137" s="5">
        <f>$L$1-L136</f>
        <v>6.0000000000000026E-2</v>
      </c>
      <c r="M137" s="5">
        <f>$M$1-M136</f>
        <v>0.32600000000000762</v>
      </c>
      <c r="N137" s="4">
        <f>$N$1-N136</f>
        <v>0.15</v>
      </c>
      <c r="O137" s="5">
        <f>$O$1-O136</f>
        <v>90.01</v>
      </c>
      <c r="P137" s="5">
        <f>$P$1-P136</f>
        <v>0.2</v>
      </c>
      <c r="Q137" s="6"/>
      <c r="T137">
        <v>103.97</v>
      </c>
      <c r="U137">
        <v>746.11</v>
      </c>
    </row>
    <row r="138" spans="1:21" ht="15.75" thickBot="1" x14ac:dyDescent="0.3">
      <c r="A138" s="4"/>
      <c r="B138" s="5"/>
      <c r="C138" s="5"/>
      <c r="D138" s="37">
        <f>SQRT(D137^2+E137^2+F137^2)</f>
        <v>1.9754283079879262</v>
      </c>
      <c r="E138" s="5"/>
      <c r="F138" s="5"/>
      <c r="G138" s="131">
        <f>G137*PI()/180*1000</f>
        <v>-1.3089969389960447</v>
      </c>
      <c r="H138" s="132">
        <f>H137*PI()/180*1000</f>
        <v>-1.43116998663535</v>
      </c>
      <c r="I138" s="132">
        <f>I137*PI()/180*1000</f>
        <v>0.50614548307835561</v>
      </c>
      <c r="J138" s="130">
        <f>SQRT(G138^2+H138^2+I138^2)</f>
        <v>2.004470944410885</v>
      </c>
      <c r="K138" s="37">
        <f>SQRT(K137^2+L137^2+M137^2)</f>
        <v>0.69424491355715878</v>
      </c>
      <c r="L138" s="5"/>
      <c r="M138" s="5"/>
      <c r="N138" s="4"/>
      <c r="O138" s="5"/>
      <c r="P138" s="5"/>
      <c r="Q138" s="6"/>
      <c r="T138">
        <v>622.25</v>
      </c>
      <c r="U138">
        <v>639.66999999999996</v>
      </c>
    </row>
    <row r="139" spans="1:21" x14ac:dyDescent="0.25">
      <c r="A139" s="1">
        <f>A136</f>
        <v>43292</v>
      </c>
      <c r="B139" s="2"/>
      <c r="C139" s="2" t="s">
        <v>403</v>
      </c>
      <c r="D139" s="21">
        <v>990.39</v>
      </c>
      <c r="E139" s="22">
        <v>1698.64</v>
      </c>
      <c r="F139" s="22">
        <v>42.37</v>
      </c>
      <c r="G139" s="23">
        <v>-134.88399999999999</v>
      </c>
      <c r="H139" s="22">
        <v>0.21</v>
      </c>
      <c r="I139" s="22">
        <v>7.8E-2</v>
      </c>
      <c r="J139" s="24">
        <v>0.1</v>
      </c>
      <c r="K139" s="2">
        <v>245.9</v>
      </c>
      <c r="L139" s="2">
        <v>0.21</v>
      </c>
      <c r="M139" s="2">
        <v>92.06</v>
      </c>
      <c r="N139" s="13">
        <v>0</v>
      </c>
      <c r="O139" s="2">
        <v>0</v>
      </c>
      <c r="P139" s="2">
        <v>0</v>
      </c>
      <c r="Q139" s="3">
        <v>0.03</v>
      </c>
      <c r="T139">
        <v>276.92</v>
      </c>
      <c r="U139">
        <v>-436.67</v>
      </c>
    </row>
    <row r="140" spans="1:21" x14ac:dyDescent="0.25">
      <c r="A140" s="4"/>
      <c r="B140" s="5"/>
      <c r="C140" s="5" t="s">
        <v>35</v>
      </c>
      <c r="D140" s="25">
        <f>$D$1-D139</f>
        <v>2.8000000000020009E-2</v>
      </c>
      <c r="E140" s="5">
        <f>$E$1-E139</f>
        <v>-0.99200000000018917</v>
      </c>
      <c r="F140" s="5">
        <f>$F$1-F139</f>
        <v>-1.9329999999999998</v>
      </c>
      <c r="G140" s="4">
        <f>$G$1-G139</f>
        <v>-7.5000000000017053E-2</v>
      </c>
      <c r="H140" s="5">
        <f>$H$1-H139</f>
        <v>-8.6999999999999994E-2</v>
      </c>
      <c r="I140" s="5">
        <f>$I$1-I139</f>
        <v>0.03</v>
      </c>
      <c r="J140" s="26"/>
      <c r="K140" s="5">
        <f>$K$1-K139</f>
        <v>-0.53000000000000114</v>
      </c>
      <c r="L140" s="5">
        <f>$L$1-L139</f>
        <v>7.0000000000000034E-2</v>
      </c>
      <c r="M140" s="5">
        <f>$M$1-M139</f>
        <v>0.33599999999999852</v>
      </c>
      <c r="N140" s="4">
        <f>$N$1-N139</f>
        <v>0.15</v>
      </c>
      <c r="O140" s="5">
        <f>$O$1-O139</f>
        <v>90.01</v>
      </c>
      <c r="P140" s="5">
        <f>$P$1-P139</f>
        <v>0.2</v>
      </c>
      <c r="Q140" s="6"/>
      <c r="T140">
        <v>614.05999999999995</v>
      </c>
      <c r="U140">
        <v>914.16</v>
      </c>
    </row>
    <row r="141" spans="1:21" ht="15.75" thickBot="1" x14ac:dyDescent="0.3">
      <c r="A141" s="4"/>
      <c r="B141" s="5"/>
      <c r="C141" s="5"/>
      <c r="D141" s="37">
        <f>SQRT(D140^2+E140^2+F140^2)</f>
        <v>2.1728637785191172</v>
      </c>
      <c r="E141" s="5"/>
      <c r="F141" s="5"/>
      <c r="G141" s="131">
        <f>G140*PI()/180*1000</f>
        <v>-1.3089969389960447</v>
      </c>
      <c r="H141" s="132">
        <f>H140*PI()/180*1000</f>
        <v>-1.5184364492350666</v>
      </c>
      <c r="I141" s="132">
        <f>I140*PI()/180*1000</f>
        <v>0.52359877559829882</v>
      </c>
      <c r="J141" s="130">
        <f>SQRT(G141^2+H141^2+I141^2)</f>
        <v>2.0720226626353897</v>
      </c>
      <c r="K141" s="37">
        <f>SQRT(K140^2+L140^2+M140^2)</f>
        <v>0.63142378795861043</v>
      </c>
      <c r="L141" s="5"/>
      <c r="M141" s="5"/>
      <c r="N141" s="4"/>
      <c r="O141" s="5"/>
      <c r="P141" s="5"/>
      <c r="Q141" s="6"/>
      <c r="T141">
        <v>317.89999999999998</v>
      </c>
      <c r="U141">
        <v>611.94000000000005</v>
      </c>
    </row>
    <row r="142" spans="1:21" x14ac:dyDescent="0.25">
      <c r="A142" s="1">
        <f>A139</f>
        <v>43292</v>
      </c>
      <c r="B142" s="2"/>
      <c r="C142" s="2" t="s">
        <v>404</v>
      </c>
      <c r="D142" s="21">
        <v>990.44</v>
      </c>
      <c r="E142" s="22">
        <v>1698.64</v>
      </c>
      <c r="F142" s="22">
        <v>42.55</v>
      </c>
      <c r="G142" s="23">
        <v>-134.88499999999999</v>
      </c>
      <c r="H142" s="22">
        <v>0.214</v>
      </c>
      <c r="I142" s="22">
        <v>7.8E-2</v>
      </c>
      <c r="J142" s="24">
        <v>0.12</v>
      </c>
      <c r="K142" s="2">
        <v>245.83</v>
      </c>
      <c r="L142" s="2">
        <v>0.19</v>
      </c>
      <c r="M142" s="2">
        <v>92</v>
      </c>
      <c r="N142" s="13">
        <v>0</v>
      </c>
      <c r="O142" s="2">
        <v>0</v>
      </c>
      <c r="P142" s="2">
        <v>0</v>
      </c>
      <c r="Q142" s="3">
        <v>0.03</v>
      </c>
      <c r="T142">
        <v>276.01</v>
      </c>
      <c r="U142">
        <v>256.82</v>
      </c>
    </row>
    <row r="143" spans="1:21" x14ac:dyDescent="0.25">
      <c r="A143" s="4"/>
      <c r="B143" s="5"/>
      <c r="C143" s="5" t="s">
        <v>35</v>
      </c>
      <c r="D143" s="25">
        <f>$D$1-D142</f>
        <v>-2.2000000000048203E-2</v>
      </c>
      <c r="E143" s="5">
        <f>$E$1-E142</f>
        <v>-0.99200000000018917</v>
      </c>
      <c r="F143" s="5">
        <f>$F$1-F142</f>
        <v>-2.1129999999999995</v>
      </c>
      <c r="G143" s="4">
        <f>$G$1-G142</f>
        <v>-7.4000000000012278E-2</v>
      </c>
      <c r="H143" s="5">
        <f>$H$1-H142</f>
        <v>-9.0999999999999998E-2</v>
      </c>
      <c r="I143" s="5">
        <f>$I$1-I142</f>
        <v>0.03</v>
      </c>
      <c r="J143" s="26"/>
      <c r="K143" s="5">
        <f>$K$1-K142</f>
        <v>-0.46000000000000796</v>
      </c>
      <c r="L143" s="5">
        <f>$L$1-L142</f>
        <v>9.0000000000000024E-2</v>
      </c>
      <c r="M143" s="5">
        <f>$M$1-M142</f>
        <v>0.3960000000000008</v>
      </c>
      <c r="N143" s="4">
        <f>$N$1-N142</f>
        <v>0.15</v>
      </c>
      <c r="O143" s="5">
        <f>$O$1-O142</f>
        <v>90.01</v>
      </c>
      <c r="P143" s="5">
        <f>$P$1-P142</f>
        <v>0.2</v>
      </c>
      <c r="Q143" s="6"/>
      <c r="T143">
        <v>381.7</v>
      </c>
      <c r="U143">
        <v>12.08</v>
      </c>
    </row>
    <row r="144" spans="1:21" x14ac:dyDescent="0.25">
      <c r="A144" s="4"/>
      <c r="B144" s="5"/>
      <c r="C144" s="5"/>
      <c r="D144" s="37">
        <f>SQRT(D143^2+E143^2+F143^2)</f>
        <v>2.3343772188745278</v>
      </c>
      <c r="E144" s="5"/>
      <c r="F144" s="5"/>
      <c r="G144" s="131">
        <f>G143*PI()/180*1000</f>
        <v>-1.2915436464760182</v>
      </c>
      <c r="H144" s="132">
        <f>H143*PI()/180*1000</f>
        <v>-1.5882496193148399</v>
      </c>
      <c r="I144" s="132">
        <f>I143*PI()/180*1000</f>
        <v>0.52359877559829882</v>
      </c>
      <c r="J144" s="130">
        <f>SQRT(G144^2+H144^2+I144^2)</f>
        <v>2.113002016519232</v>
      </c>
      <c r="K144" s="37">
        <f>SQRT(K143^2+L143^2+M143^2)</f>
        <v>0.61360899602271801</v>
      </c>
      <c r="L144" s="5"/>
      <c r="M144" s="5"/>
      <c r="N144" s="4"/>
      <c r="O144" s="5"/>
      <c r="P144" s="5"/>
      <c r="Q144" s="6"/>
      <c r="T144">
        <v>590.72</v>
      </c>
      <c r="U144">
        <v>-961.91</v>
      </c>
    </row>
    <row r="145" spans="1:21" ht="15.75" thickBot="1" x14ac:dyDescent="0.3">
      <c r="A145" s="42" t="s">
        <v>45</v>
      </c>
      <c r="T145">
        <v>578.52</v>
      </c>
      <c r="U145">
        <v>-590.49</v>
      </c>
    </row>
    <row r="146" spans="1:21" x14ac:dyDescent="0.25">
      <c r="A146" s="48" t="s">
        <v>46</v>
      </c>
      <c r="B146" s="49" t="s">
        <v>396</v>
      </c>
      <c r="C146" s="22"/>
      <c r="D146" s="22"/>
      <c r="E146" s="22"/>
      <c r="F146" s="186" t="s">
        <v>339</v>
      </c>
      <c r="H146" t="s">
        <v>64</v>
      </c>
      <c r="M146" t="s">
        <v>397</v>
      </c>
      <c r="P146" t="s">
        <v>398</v>
      </c>
      <c r="T146">
        <v>822.72</v>
      </c>
      <c r="U146">
        <v>227.58</v>
      </c>
    </row>
    <row r="147" spans="1:21" x14ac:dyDescent="0.25">
      <c r="A147" s="50" t="s">
        <v>50</v>
      </c>
      <c r="B147" s="5"/>
      <c r="C147" s="5">
        <v>0.01</v>
      </c>
      <c r="D147" s="5">
        <v>-0.01</v>
      </c>
      <c r="E147" s="5">
        <v>-0.02</v>
      </c>
      <c r="F147" s="51">
        <f>SQRT(C147^2+D147^2+E147^2)</f>
        <v>2.4494897427831782E-2</v>
      </c>
      <c r="H147">
        <v>1000</v>
      </c>
      <c r="I147">
        <v>0</v>
      </c>
      <c r="M147">
        <v>683.65</v>
      </c>
      <c r="N147">
        <v>-435.21</v>
      </c>
      <c r="P147">
        <v>928.79</v>
      </c>
      <c r="Q147">
        <v>-346.05</v>
      </c>
      <c r="R147">
        <v>493.24</v>
      </c>
      <c r="T147">
        <v>782.44</v>
      </c>
      <c r="U147">
        <v>1636.35</v>
      </c>
    </row>
    <row r="148" spans="1:21" x14ac:dyDescent="0.25">
      <c r="A148" s="50" t="s">
        <v>51</v>
      </c>
      <c r="B148" s="5"/>
      <c r="C148" s="5">
        <v>-0.02</v>
      </c>
      <c r="D148" s="5">
        <v>-0.06</v>
      </c>
      <c r="E148" s="5">
        <v>0.1</v>
      </c>
      <c r="F148" s="51">
        <f t="shared" ref="F148" si="24">SQRT(C148^2+D148^2+E148^2)</f>
        <v>0.11832159566199232</v>
      </c>
      <c r="H148">
        <v>1000</v>
      </c>
      <c r="I148">
        <v>1000</v>
      </c>
      <c r="M148">
        <v>595.47</v>
      </c>
      <c r="N148">
        <v>-380.61</v>
      </c>
      <c r="P148">
        <v>1185.6199999999999</v>
      </c>
      <c r="Q148">
        <v>1066.48</v>
      </c>
      <c r="R148">
        <v>559.66</v>
      </c>
      <c r="T148">
        <v>219.19</v>
      </c>
      <c r="U148">
        <v>1660.57</v>
      </c>
    </row>
    <row r="149" spans="1:21" x14ac:dyDescent="0.25">
      <c r="A149" s="50" t="s">
        <v>52</v>
      </c>
      <c r="B149" s="5"/>
      <c r="C149" s="5">
        <v>-0.04</v>
      </c>
      <c r="D149" s="5">
        <v>-7.0000000000000007E-2</v>
      </c>
      <c r="E149" s="5">
        <v>0.11</v>
      </c>
      <c r="F149" s="51">
        <f>SQRT(C149^2+D149^2+E149^2)</f>
        <v>0.13638181696985854</v>
      </c>
      <c r="H149">
        <v>0</v>
      </c>
      <c r="I149">
        <v>1000</v>
      </c>
      <c r="M149">
        <v>930.05</v>
      </c>
      <c r="N149">
        <v>-326.68</v>
      </c>
      <c r="P149">
        <v>547.85</v>
      </c>
      <c r="Q149">
        <v>408.19</v>
      </c>
      <c r="R149">
        <v>906.24</v>
      </c>
      <c r="T149">
        <v>257.89</v>
      </c>
      <c r="U149">
        <v>474.97</v>
      </c>
    </row>
    <row r="150" spans="1:21" x14ac:dyDescent="0.25">
      <c r="A150" s="52" t="s">
        <v>47</v>
      </c>
      <c r="B150" s="53"/>
      <c r="C150" s="41"/>
      <c r="D150" s="5"/>
      <c r="E150" s="5"/>
      <c r="F150" s="26"/>
      <c r="H150">
        <v>0</v>
      </c>
      <c r="I150">
        <v>0</v>
      </c>
      <c r="M150">
        <v>873.14</v>
      </c>
      <c r="N150">
        <v>-55.11</v>
      </c>
      <c r="P150">
        <v>492.6</v>
      </c>
      <c r="Q150">
        <v>-592.44000000000005</v>
      </c>
      <c r="R150">
        <v>787.29</v>
      </c>
      <c r="T150">
        <v>113.43</v>
      </c>
      <c r="U150">
        <v>359.72</v>
      </c>
    </row>
    <row r="151" spans="1:21" x14ac:dyDescent="0.25">
      <c r="A151" s="50" t="s">
        <v>50</v>
      </c>
      <c r="B151" s="5"/>
      <c r="C151" s="5">
        <v>0.08</v>
      </c>
      <c r="D151" s="5">
        <v>0.03</v>
      </c>
      <c r="E151" s="5">
        <v>0</v>
      </c>
      <c r="F151" s="51">
        <f>SQRT(C151^2+D151^2+E151^2)</f>
        <v>8.5440037453175313E-2</v>
      </c>
      <c r="M151">
        <v>970.89</v>
      </c>
      <c r="N151">
        <v>-19.21</v>
      </c>
      <c r="P151">
        <v>454.25</v>
      </c>
      <c r="Q151">
        <v>612.12</v>
      </c>
      <c r="R151">
        <v>343.62</v>
      </c>
      <c r="T151">
        <v>332.89</v>
      </c>
      <c r="U151">
        <v>-202.18</v>
      </c>
    </row>
    <row r="152" spans="1:21" x14ac:dyDescent="0.25">
      <c r="A152" s="50" t="s">
        <v>51</v>
      </c>
      <c r="B152" s="5"/>
      <c r="C152" s="5">
        <v>0.19</v>
      </c>
      <c r="D152" s="5">
        <v>-0.02</v>
      </c>
      <c r="E152" s="5">
        <v>7.0000000000000007E-2</v>
      </c>
      <c r="F152" s="51">
        <f t="shared" ref="F152" si="25">SQRT(C152^2+D152^2+E152^2)</f>
        <v>0.20346989949375804</v>
      </c>
      <c r="M152">
        <v>792.33</v>
      </c>
      <c r="N152">
        <v>-24.99</v>
      </c>
      <c r="P152">
        <v>862.54</v>
      </c>
      <c r="Q152">
        <v>729.61</v>
      </c>
      <c r="R152">
        <v>465.2</v>
      </c>
      <c r="T152">
        <v>295.75</v>
      </c>
      <c r="U152">
        <v>299.06</v>
      </c>
    </row>
    <row r="153" spans="1:21" x14ac:dyDescent="0.25">
      <c r="A153" s="50" t="s">
        <v>52</v>
      </c>
      <c r="B153" s="5"/>
      <c r="C153" s="5">
        <v>0.05</v>
      </c>
      <c r="D153" s="5">
        <v>0.03</v>
      </c>
      <c r="E153" s="5">
        <v>-0.05</v>
      </c>
      <c r="F153" s="51">
        <f>SQRT(C153^2+D153^2+E153^2)</f>
        <v>7.681145747868609E-2</v>
      </c>
      <c r="M153">
        <v>639.84</v>
      </c>
      <c r="N153">
        <v>-40.82</v>
      </c>
      <c r="P153">
        <v>479.57</v>
      </c>
      <c r="Q153">
        <v>910.6</v>
      </c>
      <c r="R153">
        <v>892.68</v>
      </c>
      <c r="T153">
        <v>493.25</v>
      </c>
      <c r="U153">
        <v>719.45</v>
      </c>
    </row>
    <row r="154" spans="1:21" x14ac:dyDescent="0.25">
      <c r="A154" s="52" t="s">
        <v>48</v>
      </c>
      <c r="B154" s="53"/>
      <c r="C154" s="5"/>
      <c r="D154" s="5"/>
      <c r="E154" s="5"/>
      <c r="F154" s="26"/>
      <c r="M154">
        <v>521.87</v>
      </c>
      <c r="N154">
        <v>-260.95</v>
      </c>
      <c r="P154">
        <v>599.41999999999996</v>
      </c>
      <c r="Q154">
        <v>232</v>
      </c>
      <c r="R154">
        <v>699.14</v>
      </c>
      <c r="T154">
        <v>874.65</v>
      </c>
      <c r="U154">
        <v>1132.49</v>
      </c>
    </row>
    <row r="155" spans="1:21" x14ac:dyDescent="0.25">
      <c r="A155" s="50" t="s">
        <v>50</v>
      </c>
      <c r="B155" s="5"/>
      <c r="C155" s="5">
        <v>0.06</v>
      </c>
      <c r="D155" s="5">
        <v>-7.0000000000000007E-2</v>
      </c>
      <c r="E155" s="5">
        <v>0.15</v>
      </c>
      <c r="F155" s="51">
        <f>SQRT(C155^2+D155^2+E155^2)</f>
        <v>0.17606816861659008</v>
      </c>
      <c r="M155">
        <v>695.03</v>
      </c>
      <c r="N155">
        <v>-147.63</v>
      </c>
      <c r="P155">
        <v>642.54999999999995</v>
      </c>
      <c r="Q155">
        <v>1101.8</v>
      </c>
      <c r="R155">
        <v>365.64</v>
      </c>
      <c r="T155">
        <v>627.35</v>
      </c>
      <c r="U155">
        <v>1251.72</v>
      </c>
    </row>
    <row r="156" spans="1:21" x14ac:dyDescent="0.25">
      <c r="A156" s="50" t="s">
        <v>51</v>
      </c>
      <c r="B156" s="5"/>
      <c r="C156" s="5">
        <v>0.19</v>
      </c>
      <c r="D156" s="5">
        <v>-0.16</v>
      </c>
      <c r="E156" s="5">
        <v>-0.1</v>
      </c>
      <c r="F156" s="51">
        <f t="shared" ref="F156" si="26">SQRT(C156^2+D156^2+E156^2)</f>
        <v>0.26776855677991773</v>
      </c>
      <c r="M156">
        <v>574.09</v>
      </c>
      <c r="N156">
        <v>23.65</v>
      </c>
      <c r="P156">
        <v>1185.42</v>
      </c>
      <c r="Q156">
        <v>-284.39999999999998</v>
      </c>
      <c r="R156">
        <v>463.58</v>
      </c>
      <c r="T156">
        <v>484.84</v>
      </c>
      <c r="U156">
        <v>691.25</v>
      </c>
    </row>
    <row r="157" spans="1:21" x14ac:dyDescent="0.25">
      <c r="A157" s="50" t="s">
        <v>52</v>
      </c>
      <c r="B157" s="5"/>
      <c r="C157" s="5">
        <v>0.06</v>
      </c>
      <c r="D157" s="5">
        <v>-0.2</v>
      </c>
      <c r="E157" s="5">
        <v>0.23</v>
      </c>
      <c r="F157" s="51">
        <f>SQRT(C157^2+D157^2+E157^2)</f>
        <v>0.31064449134018135</v>
      </c>
      <c r="P157">
        <v>831.01</v>
      </c>
      <c r="Q157">
        <v>544.02</v>
      </c>
      <c r="R157">
        <v>737.85</v>
      </c>
      <c r="T157">
        <v>179.11</v>
      </c>
      <c r="U157">
        <v>594.77</v>
      </c>
    </row>
    <row r="158" spans="1:21" x14ac:dyDescent="0.25">
      <c r="A158" s="52" t="s">
        <v>49</v>
      </c>
      <c r="B158" s="53"/>
      <c r="C158" s="5"/>
      <c r="D158" s="5"/>
      <c r="E158" s="5"/>
      <c r="F158" s="26"/>
      <c r="M158" t="s">
        <v>133</v>
      </c>
      <c r="P158">
        <v>335</v>
      </c>
      <c r="Q158">
        <v>529.53</v>
      </c>
      <c r="R158">
        <v>626.89</v>
      </c>
      <c r="T158">
        <v>286.95999999999998</v>
      </c>
      <c r="U158">
        <v>289.33999999999997</v>
      </c>
    </row>
    <row r="159" spans="1:21" x14ac:dyDescent="0.25">
      <c r="A159" s="50" t="s">
        <v>50</v>
      </c>
      <c r="B159" s="5"/>
      <c r="C159" s="5">
        <v>0.16</v>
      </c>
      <c r="D159" s="5">
        <v>-0.05</v>
      </c>
      <c r="E159" s="5">
        <v>0.09</v>
      </c>
      <c r="F159" s="51">
        <f>SQRT(C159^2+D159^2+E159^2)</f>
        <v>0.19026297590440447</v>
      </c>
      <c r="M159">
        <v>587.79999999999995</v>
      </c>
      <c r="N159">
        <v>-150.37</v>
      </c>
      <c r="P159">
        <v>546.57000000000005</v>
      </c>
      <c r="Q159">
        <v>-634.19000000000005</v>
      </c>
      <c r="R159">
        <v>433.93</v>
      </c>
      <c r="T159">
        <v>445.05</v>
      </c>
      <c r="U159">
        <v>-357.26</v>
      </c>
    </row>
    <row r="160" spans="1:21" x14ac:dyDescent="0.25">
      <c r="A160" s="50" t="s">
        <v>51</v>
      </c>
      <c r="B160" s="5"/>
      <c r="C160" s="5">
        <v>0.27</v>
      </c>
      <c r="D160" s="5">
        <v>-0.17</v>
      </c>
      <c r="E160" s="5">
        <v>-0.16</v>
      </c>
      <c r="F160" s="51">
        <f t="shared" ref="F160" si="27">SQRT(C160^2+D160^2+E160^2)</f>
        <v>0.35693136595149494</v>
      </c>
      <c r="M160">
        <v>341.55</v>
      </c>
      <c r="N160">
        <v>-269.61</v>
      </c>
      <c r="P160">
        <v>752.11</v>
      </c>
      <c r="Q160">
        <v>407.7</v>
      </c>
      <c r="R160">
        <v>362.21</v>
      </c>
      <c r="T160">
        <v>684.54</v>
      </c>
      <c r="U160">
        <v>-909.79</v>
      </c>
    </row>
    <row r="161" spans="1:21" ht="15.75" thickBot="1" x14ac:dyDescent="0.3">
      <c r="A161" s="54" t="s">
        <v>52</v>
      </c>
      <c r="B161" s="28"/>
      <c r="C161" s="28">
        <v>7.0000000000000007E-2</v>
      </c>
      <c r="D161" s="28">
        <v>-0.22</v>
      </c>
      <c r="E161" s="28">
        <v>0.28000000000000003</v>
      </c>
      <c r="F161" s="55">
        <f>SQRT(C161^2+D161^2+E161^2)</f>
        <v>0.3629049462324811</v>
      </c>
      <c r="M161">
        <v>457.08</v>
      </c>
      <c r="N161">
        <v>349.37</v>
      </c>
      <c r="P161">
        <v>892.08</v>
      </c>
      <c r="Q161">
        <v>-79.66</v>
      </c>
      <c r="R161">
        <v>395.9</v>
      </c>
      <c r="T161">
        <v>406.46</v>
      </c>
      <c r="U161">
        <v>543.08000000000004</v>
      </c>
    </row>
    <row r="162" spans="1:21" x14ac:dyDescent="0.25">
      <c r="D162" t="s">
        <v>340</v>
      </c>
      <c r="M162">
        <v>880.7</v>
      </c>
      <c r="N162">
        <v>707.05</v>
      </c>
      <c r="T162">
        <v>395.02</v>
      </c>
      <c r="U162">
        <v>859.57</v>
      </c>
    </row>
    <row r="163" spans="1:21" x14ac:dyDescent="0.25">
      <c r="D163" s="133">
        <v>0</v>
      </c>
      <c r="E163" s="58">
        <v>0</v>
      </c>
      <c r="M163">
        <v>878</v>
      </c>
      <c r="N163">
        <v>1122.92</v>
      </c>
      <c r="T163">
        <v>1143.58</v>
      </c>
      <c r="U163">
        <v>1112.29</v>
      </c>
    </row>
    <row r="164" spans="1:21" x14ac:dyDescent="0.25">
      <c r="D164" s="133">
        <v>15</v>
      </c>
      <c r="E164" s="39">
        <f>AVERAGE(F147:F149)</f>
        <v>9.3066103353227556E-2</v>
      </c>
      <c r="F164" s="57">
        <f>(E164-E163)/(D164-D163)</f>
        <v>6.2044068902151707E-3</v>
      </c>
      <c r="M164">
        <v>364.32</v>
      </c>
      <c r="N164">
        <v>1155.31</v>
      </c>
      <c r="T164">
        <v>728.01</v>
      </c>
      <c r="U164">
        <v>445.36</v>
      </c>
    </row>
    <row r="165" spans="1:21" x14ac:dyDescent="0.25">
      <c r="D165" s="133">
        <v>30</v>
      </c>
      <c r="E165" s="39">
        <f>AVERAGE(F151:F153)</f>
        <v>0.12190713147520649</v>
      </c>
      <c r="F165" s="57">
        <f>(E165-E164)/(D165-D164)</f>
        <v>1.9227352081319289E-3</v>
      </c>
      <c r="M165">
        <v>37.619999999999997</v>
      </c>
      <c r="N165">
        <v>784.54</v>
      </c>
      <c r="T165">
        <v>447.71</v>
      </c>
      <c r="U165">
        <v>-2.1</v>
      </c>
    </row>
    <row r="166" spans="1:21" x14ac:dyDescent="0.25">
      <c r="D166" s="133">
        <v>45</v>
      </c>
      <c r="E166" s="39">
        <f>AVERAGE(F155:F157)</f>
        <v>0.25149373891222976</v>
      </c>
      <c r="F166" s="57">
        <f>(E166-E165)/(D166-D165)</f>
        <v>8.6391071624682177E-3</v>
      </c>
      <c r="M166">
        <v>327.07</v>
      </c>
      <c r="N166">
        <v>258.42</v>
      </c>
      <c r="T166">
        <v>569.79999999999995</v>
      </c>
      <c r="U166">
        <v>274.93</v>
      </c>
    </row>
    <row r="167" spans="1:21" x14ac:dyDescent="0.25">
      <c r="D167" s="133">
        <v>60</v>
      </c>
      <c r="E167" s="39">
        <f>AVERAGE(F159:F161)</f>
        <v>0.30336642936279351</v>
      </c>
      <c r="F167" s="57">
        <f>(E167-E166)/(D167-D166)</f>
        <v>3.4581793633709167E-3</v>
      </c>
      <c r="M167">
        <v>160.91</v>
      </c>
      <c r="N167">
        <v>-79.41</v>
      </c>
      <c r="T167">
        <v>618.89</v>
      </c>
      <c r="U167">
        <v>552.19000000000005</v>
      </c>
    </row>
    <row r="168" spans="1:21" x14ac:dyDescent="0.25">
      <c r="D168" s="133"/>
      <c r="E168" s="39"/>
      <c r="M168">
        <v>498.41</v>
      </c>
      <c r="N168">
        <v>-438.44</v>
      </c>
      <c r="T168">
        <v>680.91</v>
      </c>
      <c r="U168">
        <v>723.48</v>
      </c>
    </row>
    <row r="169" spans="1:21" x14ac:dyDescent="0.25">
      <c r="T169">
        <v>817.05</v>
      </c>
      <c r="U169">
        <v>635.24</v>
      </c>
    </row>
    <row r="170" spans="1:21" ht="15.75" thickBot="1" x14ac:dyDescent="0.3">
      <c r="A170" s="43" t="s">
        <v>53</v>
      </c>
      <c r="K170" t="s">
        <v>55</v>
      </c>
      <c r="T170">
        <v>1035.8</v>
      </c>
      <c r="U170">
        <v>986.07</v>
      </c>
    </row>
    <row r="171" spans="1:21" x14ac:dyDescent="0.25">
      <c r="A171" s="1">
        <v>43293</v>
      </c>
      <c r="B171" s="2"/>
      <c r="C171" s="2" t="s">
        <v>54</v>
      </c>
      <c r="D171" s="21">
        <v>990.07</v>
      </c>
      <c r="E171" s="22">
        <v>1698.24</v>
      </c>
      <c r="F171" s="22">
        <v>41.1</v>
      </c>
      <c r="G171" s="23">
        <v>-134.88399999999999</v>
      </c>
      <c r="H171" s="22">
        <v>0.17199999999999999</v>
      </c>
      <c r="I171" s="22">
        <v>8.4000000000000005E-2</v>
      </c>
      <c r="J171" s="24">
        <v>0.09</v>
      </c>
      <c r="K171" s="45">
        <v>457.23</v>
      </c>
      <c r="L171" s="45">
        <v>-5.52</v>
      </c>
      <c r="M171" s="45">
        <v>-44.28</v>
      </c>
      <c r="N171" s="46">
        <v>0</v>
      </c>
      <c r="O171" s="45">
        <v>0</v>
      </c>
      <c r="P171" s="45">
        <v>0</v>
      </c>
      <c r="Q171" s="47">
        <v>0.02</v>
      </c>
      <c r="T171">
        <v>742.74</v>
      </c>
      <c r="U171">
        <v>355.47</v>
      </c>
    </row>
    <row r="172" spans="1:21" x14ac:dyDescent="0.25">
      <c r="A172" s="4"/>
      <c r="B172" s="5"/>
      <c r="C172" s="5" t="s">
        <v>35</v>
      </c>
      <c r="D172" s="25">
        <f>$D$1-D171</f>
        <v>0.34799999999995634</v>
      </c>
      <c r="E172" s="5">
        <f>$E$1-E171</f>
        <v>-0.59200000000009823</v>
      </c>
      <c r="F172" s="5">
        <f>$F$1-F171</f>
        <v>-0.66300000000000381</v>
      </c>
      <c r="G172" s="4">
        <f>$G$1-G171</f>
        <v>-7.5000000000017053E-2</v>
      </c>
      <c r="H172" s="5">
        <f>$H$1-H171</f>
        <v>-4.8999999999999988E-2</v>
      </c>
      <c r="I172" s="5">
        <f>$I$1-I171</f>
        <v>2.3999999999999994E-2</v>
      </c>
      <c r="J172" s="26"/>
      <c r="K172" s="5">
        <f>$K$1-K171</f>
        <v>-211.86</v>
      </c>
      <c r="L172" s="5">
        <f>$L$1-L171</f>
        <v>5.8</v>
      </c>
      <c r="M172" s="5">
        <f>$M$1-M171</f>
        <v>136.67599999999999</v>
      </c>
      <c r="N172" s="4">
        <f>$N$1-N171</f>
        <v>0.15</v>
      </c>
      <c r="O172" s="5">
        <f>$O$1-O171</f>
        <v>90.01</v>
      </c>
      <c r="P172" s="5">
        <f>$P$1-P171</f>
        <v>0.2</v>
      </c>
      <c r="Q172" s="6"/>
      <c r="T172">
        <v>372.55</v>
      </c>
      <c r="U172">
        <v>334.39</v>
      </c>
    </row>
    <row r="173" spans="1:21" ht="15.75" thickBot="1" x14ac:dyDescent="0.3">
      <c r="A173" s="4"/>
      <c r="B173" s="5"/>
      <c r="C173" s="5"/>
      <c r="D173" s="37">
        <f>SQRT(D172^2+E172^2+F172^2)</f>
        <v>0.95453496531038129</v>
      </c>
      <c r="E173" s="5"/>
      <c r="F173" s="5"/>
      <c r="G173" s="131">
        <f>G172*PI()/180*1000</f>
        <v>-1.3089969389960447</v>
      </c>
      <c r="H173" s="132">
        <f>H172*PI()/180*1000</f>
        <v>-0.85521133347722134</v>
      </c>
      <c r="I173" s="132">
        <f>I172*PI()/180*1000</f>
        <v>0.41887902047863895</v>
      </c>
      <c r="J173" s="130">
        <f>SQRT(G173^2+H173^2+I173^2)</f>
        <v>1.6187399559552629</v>
      </c>
      <c r="K173" s="37">
        <f>SQRT(K172^2+L172^2+M172^2)</f>
        <v>252.18768521876717</v>
      </c>
      <c r="L173" s="5"/>
      <c r="M173" s="5"/>
      <c r="N173" s="4"/>
      <c r="O173" s="5"/>
      <c r="P173" s="5"/>
      <c r="Q173" s="6"/>
      <c r="T173">
        <v>109.26</v>
      </c>
      <c r="U173">
        <v>360.29</v>
      </c>
    </row>
    <row r="174" spans="1:21" x14ac:dyDescent="0.25">
      <c r="A174" s="1">
        <f>A171</f>
        <v>43293</v>
      </c>
      <c r="B174" s="2"/>
      <c r="C174" s="2" t="s">
        <v>54</v>
      </c>
      <c r="D174" s="21">
        <v>990.06</v>
      </c>
      <c r="E174" s="22">
        <v>1698.26</v>
      </c>
      <c r="F174" s="22">
        <v>41.11</v>
      </c>
      <c r="G174" s="23">
        <v>-134.88399999999999</v>
      </c>
      <c r="H174" s="22">
        <v>0.17199999999999999</v>
      </c>
      <c r="I174" s="22">
        <v>8.4000000000000005E-2</v>
      </c>
      <c r="J174" s="24">
        <v>0.1</v>
      </c>
      <c r="K174" s="2">
        <v>457.23</v>
      </c>
      <c r="L174" s="2">
        <v>-5.5</v>
      </c>
      <c r="M174" s="2">
        <v>-44.27</v>
      </c>
      <c r="N174" s="13">
        <v>0</v>
      </c>
      <c r="O174" s="2">
        <v>0</v>
      </c>
      <c r="P174" s="2">
        <v>0</v>
      </c>
      <c r="Q174" s="3">
        <v>0.02</v>
      </c>
      <c r="T174">
        <v>192.48</v>
      </c>
      <c r="U174">
        <v>-175.72</v>
      </c>
    </row>
    <row r="175" spans="1:21" x14ac:dyDescent="0.25">
      <c r="A175" s="4"/>
      <c r="B175" s="5"/>
      <c r="C175" s="5" t="s">
        <v>36</v>
      </c>
      <c r="D175" s="25">
        <f>$D$1-D174</f>
        <v>0.35800000000006094</v>
      </c>
      <c r="E175" s="5">
        <f>$E$1-E174</f>
        <v>-0.61200000000008004</v>
      </c>
      <c r="F175" s="5">
        <f>$F$1-F174</f>
        <v>-0.67300000000000182</v>
      </c>
      <c r="G175" s="4">
        <f>$G$1-G174</f>
        <v>-7.5000000000017053E-2</v>
      </c>
      <c r="H175" s="5">
        <f>$H$1-H174</f>
        <v>-4.8999999999999988E-2</v>
      </c>
      <c r="I175" s="5">
        <f>$I$1-I174</f>
        <v>2.3999999999999994E-2</v>
      </c>
      <c r="J175" s="26"/>
      <c r="K175" s="5">
        <f>$K$1-K174</f>
        <v>-211.86</v>
      </c>
      <c r="L175" s="5">
        <f>$L$1-L174</f>
        <v>5.78</v>
      </c>
      <c r="M175" s="5">
        <f>$M$1-M174</f>
        <v>136.666</v>
      </c>
      <c r="N175" s="4">
        <f>$N$1-N174</f>
        <v>0.15</v>
      </c>
      <c r="O175" s="5">
        <f>$O$1-O174</f>
        <v>90.01</v>
      </c>
      <c r="P175" s="5">
        <f>$P$1-P174</f>
        <v>0.2</v>
      </c>
      <c r="Q175" s="6"/>
      <c r="T175">
        <v>519.67999999999995</v>
      </c>
      <c r="U175">
        <v>-314.72000000000003</v>
      </c>
    </row>
    <row r="176" spans="1:21" ht="15.75" thickBot="1" x14ac:dyDescent="0.3">
      <c r="A176" s="4"/>
      <c r="B176" s="5"/>
      <c r="C176" s="5"/>
      <c r="D176" s="37">
        <f>SQRT(D175^2+E175^2+F175^2)</f>
        <v>0.97756687750769466</v>
      </c>
      <c r="E176" s="5"/>
      <c r="F176" s="5"/>
      <c r="G176" s="131">
        <f>G175*PI()/180*1000</f>
        <v>-1.3089969389960447</v>
      </c>
      <c r="H176" s="132">
        <f>H175*PI()/180*1000</f>
        <v>-0.85521133347722134</v>
      </c>
      <c r="I176" s="132">
        <f>I175*PI()/180*1000</f>
        <v>0.41887902047863895</v>
      </c>
      <c r="J176" s="130">
        <f>SQRT(G176^2+H176^2+I176^2)</f>
        <v>1.6187399559552629</v>
      </c>
      <c r="K176" s="37">
        <f>SQRT(K175^2+L175^2+M175^2)</f>
        <v>252.18180655233638</v>
      </c>
      <c r="L176" s="5"/>
      <c r="M176" s="5"/>
      <c r="N176" s="4"/>
      <c r="O176" s="5"/>
      <c r="P176" s="5"/>
      <c r="Q176" s="6"/>
      <c r="T176">
        <v>565.80999999999995</v>
      </c>
      <c r="U176">
        <v>-563.01</v>
      </c>
    </row>
    <row r="177" spans="1:21" x14ac:dyDescent="0.25">
      <c r="A177" s="1">
        <f t="shared" ref="A177" si="28">A174</f>
        <v>43293</v>
      </c>
      <c r="B177" s="2"/>
      <c r="C177" s="2" t="s">
        <v>56</v>
      </c>
      <c r="D177" s="21">
        <v>990.08</v>
      </c>
      <c r="E177" s="22">
        <v>1698.2</v>
      </c>
      <c r="F177" s="22">
        <v>40.840000000000003</v>
      </c>
      <c r="G177" s="23">
        <v>-134.887</v>
      </c>
      <c r="H177" s="22">
        <v>0.16900000000000001</v>
      </c>
      <c r="I177" s="22">
        <v>8.4000000000000005E-2</v>
      </c>
      <c r="J177" s="24">
        <v>0.09</v>
      </c>
      <c r="K177" s="2">
        <v>114.96</v>
      </c>
      <c r="L177" s="2">
        <v>280.83</v>
      </c>
      <c r="M177" s="2">
        <v>-63.55</v>
      </c>
      <c r="N177" s="13">
        <v>0</v>
      </c>
      <c r="O177" s="2">
        <v>0</v>
      </c>
      <c r="P177" s="2">
        <v>0</v>
      </c>
      <c r="Q177" s="3">
        <v>0.02</v>
      </c>
      <c r="T177">
        <v>688.25</v>
      </c>
      <c r="U177">
        <v>-621.46</v>
      </c>
    </row>
    <row r="178" spans="1:21" x14ac:dyDescent="0.25">
      <c r="A178" s="4"/>
      <c r="B178" s="5"/>
      <c r="C178" s="5" t="s">
        <v>35</v>
      </c>
      <c r="D178" s="25">
        <f>$D$1-D177</f>
        <v>0.33799999999996544</v>
      </c>
      <c r="E178" s="5">
        <f>$E$1-E177</f>
        <v>-0.55200000000013461</v>
      </c>
      <c r="F178" s="5">
        <f>$F$1-F177</f>
        <v>-0.4030000000000058</v>
      </c>
      <c r="G178" s="4">
        <f>$G$1-G177</f>
        <v>-7.2000000000002728E-2</v>
      </c>
      <c r="H178" s="5">
        <f>$H$1-H177</f>
        <v>-4.6000000000000013E-2</v>
      </c>
      <c r="I178" s="5">
        <f>$I$1-I177</f>
        <v>2.3999999999999994E-2</v>
      </c>
      <c r="J178" s="26"/>
      <c r="K178" s="5">
        <f>$K$1-K177</f>
        <v>130.41000000000003</v>
      </c>
      <c r="L178" s="5">
        <f>$L$1-L177</f>
        <v>-280.55</v>
      </c>
      <c r="M178" s="5">
        <f>$M$1-M177</f>
        <v>155.946</v>
      </c>
      <c r="N178" s="4">
        <f>$N$1-N177</f>
        <v>0.15</v>
      </c>
      <c r="O178" s="5">
        <f>$O$1-O177</f>
        <v>90.01</v>
      </c>
      <c r="P178" s="5">
        <f>$P$1-P177</f>
        <v>0.2</v>
      </c>
      <c r="Q178" s="6"/>
      <c r="T178">
        <v>530.41</v>
      </c>
      <c r="U178">
        <v>26.28</v>
      </c>
    </row>
    <row r="179" spans="1:21" ht="15.75" thickBot="1" x14ac:dyDescent="0.3">
      <c r="A179" s="4"/>
      <c r="B179" s="5"/>
      <c r="C179" s="5"/>
      <c r="D179" s="37">
        <f>SQRT(D178^2+E178^2+F178^2)</f>
        <v>0.76246770423417276</v>
      </c>
      <c r="E179" s="5"/>
      <c r="F179" s="5"/>
      <c r="G179" s="131">
        <f>G178*PI()/180*1000</f>
        <v>-1.256637061435965</v>
      </c>
      <c r="H179" s="132">
        <f>H178*PI()/180*1000</f>
        <v>-0.80285145591739182</v>
      </c>
      <c r="I179" s="132">
        <f>I178*PI()/180*1000</f>
        <v>0.41887902047863895</v>
      </c>
      <c r="J179" s="130">
        <f>SQRT(G179^2+H179^2+I179^2)</f>
        <v>1.5489244004276765</v>
      </c>
      <c r="K179" s="37">
        <f>SQRT(K178^2+L178^2+M178^2)</f>
        <v>346.45955826907129</v>
      </c>
      <c r="L179" s="5"/>
      <c r="M179" s="5"/>
      <c r="N179" s="4"/>
      <c r="O179" s="5"/>
      <c r="P179" s="5"/>
      <c r="Q179" s="6"/>
      <c r="T179">
        <v>1052.52</v>
      </c>
      <c r="U179">
        <v>-660.81</v>
      </c>
    </row>
    <row r="180" spans="1:21" x14ac:dyDescent="0.25">
      <c r="A180" s="1">
        <f>A177</f>
        <v>43293</v>
      </c>
      <c r="B180" s="2"/>
      <c r="C180" s="2" t="s">
        <v>57</v>
      </c>
      <c r="D180" s="21">
        <v>990.11</v>
      </c>
      <c r="E180" s="22">
        <v>1698.23</v>
      </c>
      <c r="F180" s="22">
        <v>40.85</v>
      </c>
      <c r="G180" s="23">
        <v>-134.886</v>
      </c>
      <c r="H180" s="22">
        <v>0.17</v>
      </c>
      <c r="I180" s="22">
        <v>8.4000000000000005E-2</v>
      </c>
      <c r="J180" s="24">
        <v>0.08</v>
      </c>
      <c r="K180" s="2">
        <v>114.94</v>
      </c>
      <c r="L180" s="2">
        <v>280.81</v>
      </c>
      <c r="M180" s="2">
        <v>-63.58</v>
      </c>
      <c r="N180" s="13">
        <v>0</v>
      </c>
      <c r="O180" s="2">
        <v>0</v>
      </c>
      <c r="P180" s="2">
        <v>0</v>
      </c>
      <c r="Q180" s="3">
        <v>0.02</v>
      </c>
    </row>
    <row r="181" spans="1:21" x14ac:dyDescent="0.25">
      <c r="A181" s="4"/>
      <c r="B181" s="5"/>
      <c r="C181" s="5" t="s">
        <v>36</v>
      </c>
      <c r="D181" s="25">
        <f>$D$1-D180</f>
        <v>0.30799999999999272</v>
      </c>
      <c r="E181" s="5">
        <f>$E$1-E180</f>
        <v>-0.58200000000010732</v>
      </c>
      <c r="F181" s="5">
        <f>$F$1-F180</f>
        <v>-0.41300000000000381</v>
      </c>
      <c r="G181" s="4">
        <f>$G$1-G180</f>
        <v>-7.3000000000007503E-2</v>
      </c>
      <c r="H181" s="5">
        <f>$H$1-H180</f>
        <v>-4.7000000000000014E-2</v>
      </c>
      <c r="I181" s="5">
        <f>$I$1-I180</f>
        <v>2.3999999999999994E-2</v>
      </c>
      <c r="J181" s="26"/>
      <c r="K181" s="5">
        <f>$K$1-K180</f>
        <v>130.43</v>
      </c>
      <c r="L181" s="5">
        <f>$L$1-L180</f>
        <v>-280.53000000000003</v>
      </c>
      <c r="M181" s="5">
        <f>$M$1-M180</f>
        <v>155.976</v>
      </c>
      <c r="N181" s="4">
        <f>$N$1-N180</f>
        <v>0.15</v>
      </c>
      <c r="O181" s="5">
        <f>$O$1-O180</f>
        <v>90.01</v>
      </c>
      <c r="P181" s="5">
        <f>$P$1-P180</f>
        <v>0.2</v>
      </c>
      <c r="Q181" s="6"/>
    </row>
    <row r="182" spans="1:21" ht="15.75" thickBot="1" x14ac:dyDescent="0.3">
      <c r="A182" s="4"/>
      <c r="B182" s="5"/>
      <c r="C182" s="5"/>
      <c r="D182" s="37">
        <f>SQRT(D181^2+E181^2+F181^2)</f>
        <v>0.77727536947990539</v>
      </c>
      <c r="E182" s="5"/>
      <c r="F182" s="5"/>
      <c r="G182" s="131">
        <f>G181*PI()/180*1000</f>
        <v>-1.2740903539559916</v>
      </c>
      <c r="H182" s="132">
        <f>H181*PI()/180*1000</f>
        <v>-0.82030474843733503</v>
      </c>
      <c r="I182" s="132">
        <f>I181*PI()/180*1000</f>
        <v>0.41887902047863895</v>
      </c>
      <c r="J182" s="130">
        <f>SQRT(G182^2+H182^2+I182^2)</f>
        <v>1.5721532190437697</v>
      </c>
      <c r="K182" s="37">
        <f>SQRT(K181^2+L181^2+M181^2)</f>
        <v>346.46439698185441</v>
      </c>
      <c r="L182" s="5"/>
      <c r="M182" s="5"/>
      <c r="N182" s="4"/>
      <c r="O182" s="5"/>
      <c r="P182" s="5"/>
      <c r="Q182" s="6"/>
    </row>
    <row r="183" spans="1:21" x14ac:dyDescent="0.25">
      <c r="A183" s="1">
        <f>A180</f>
        <v>43293</v>
      </c>
      <c r="B183" s="2"/>
      <c r="C183" s="2" t="s">
        <v>58</v>
      </c>
      <c r="D183" s="21">
        <v>989.97</v>
      </c>
      <c r="E183" s="22">
        <v>1698.23</v>
      </c>
      <c r="F183" s="22">
        <v>40.82</v>
      </c>
      <c r="G183" s="23">
        <v>-134.88399999999999</v>
      </c>
      <c r="H183" s="22">
        <v>0.16900000000000001</v>
      </c>
      <c r="I183" s="22">
        <v>8.4000000000000005E-2</v>
      </c>
      <c r="J183" s="24">
        <v>0.06</v>
      </c>
      <c r="K183" s="2">
        <v>-15.81</v>
      </c>
      <c r="L183" s="2">
        <v>108.62</v>
      </c>
      <c r="M183" s="2">
        <v>9</v>
      </c>
      <c r="N183" s="13">
        <v>0</v>
      </c>
      <c r="O183" s="2">
        <v>0</v>
      </c>
      <c r="P183" s="2">
        <v>0</v>
      </c>
      <c r="Q183" s="3">
        <v>0.01</v>
      </c>
    </row>
    <row r="184" spans="1:21" x14ac:dyDescent="0.25">
      <c r="A184" s="4"/>
      <c r="B184" s="5"/>
      <c r="C184" s="5"/>
      <c r="D184" s="25">
        <f>$D$1-D183</f>
        <v>0.44799999999997908</v>
      </c>
      <c r="E184" s="5">
        <f>$E$1-E183</f>
        <v>-0.58200000000010732</v>
      </c>
      <c r="F184" s="5">
        <f>$F$1-F183</f>
        <v>-0.38300000000000267</v>
      </c>
      <c r="G184" s="4">
        <f>$G$1-G183</f>
        <v>-7.5000000000017053E-2</v>
      </c>
      <c r="H184" s="5">
        <f>$H$1-H183</f>
        <v>-4.6000000000000013E-2</v>
      </c>
      <c r="I184" s="5">
        <f>$I$1-I183</f>
        <v>2.3999999999999994E-2</v>
      </c>
      <c r="J184" s="26"/>
      <c r="K184" s="5">
        <f>$K$1-K183</f>
        <v>261.18</v>
      </c>
      <c r="L184" s="5">
        <f>$L$1-L183</f>
        <v>-108.34</v>
      </c>
      <c r="M184" s="5">
        <f>$M$1-M183</f>
        <v>83.396000000000001</v>
      </c>
      <c r="N184" s="4">
        <f>$N$1-N183</f>
        <v>0.15</v>
      </c>
      <c r="O184" s="5">
        <f>$O$1-O183</f>
        <v>90.01</v>
      </c>
      <c r="P184" s="5">
        <f>$P$1-P183</f>
        <v>0.2</v>
      </c>
      <c r="Q184" s="6"/>
    </row>
    <row r="185" spans="1:21" x14ac:dyDescent="0.25">
      <c r="A185" s="4"/>
      <c r="B185" s="5"/>
      <c r="C185" s="5"/>
      <c r="D185" s="37">
        <f>SQRT(D184^2+E184^2+F184^2)</f>
        <v>0.82832179737111122</v>
      </c>
      <c r="E185" s="5"/>
      <c r="F185" s="5"/>
      <c r="G185" s="131">
        <f>G184*PI()/180*1000</f>
        <v>-1.3089969389960447</v>
      </c>
      <c r="H185" s="132">
        <f>H184*PI()/180*1000</f>
        <v>-0.80285145591739182</v>
      </c>
      <c r="I185" s="132">
        <f>I184*PI()/180*1000</f>
        <v>0.41887902047863895</v>
      </c>
      <c r="J185" s="130">
        <f>SQRT(G185^2+H185^2+I185^2)</f>
        <v>1.5916981750215193</v>
      </c>
      <c r="K185" s="37">
        <f>SQRT(K184^2+L184^2+M184^2)</f>
        <v>294.80067980925691</v>
      </c>
      <c r="L185" s="5"/>
      <c r="M185" s="5"/>
      <c r="N185" s="4"/>
      <c r="O185" s="5"/>
      <c r="P185" s="5"/>
      <c r="Q185" s="6"/>
    </row>
    <row r="186" spans="1:21" ht="15.75" thickBot="1" x14ac:dyDescent="0.3"/>
    <row r="187" spans="1:21" x14ac:dyDescent="0.25">
      <c r="A187" s="1">
        <f>A171</f>
        <v>43293</v>
      </c>
      <c r="B187" s="2"/>
      <c r="C187" s="2" t="s">
        <v>59</v>
      </c>
      <c r="D187" s="21">
        <v>989.8</v>
      </c>
      <c r="E187" s="22">
        <v>1698.44</v>
      </c>
      <c r="F187" s="22">
        <v>40.57</v>
      </c>
      <c r="G187" s="23">
        <v>-134.87700000000001</v>
      </c>
      <c r="H187" s="22">
        <v>0.161</v>
      </c>
      <c r="I187" s="22">
        <v>8.4000000000000005E-2</v>
      </c>
      <c r="J187" s="24">
        <v>0.05</v>
      </c>
      <c r="K187" s="2">
        <v>111.23</v>
      </c>
      <c r="L187" s="2">
        <v>281.33</v>
      </c>
      <c r="M187" s="2">
        <v>-62.31</v>
      </c>
      <c r="N187" s="13">
        <v>0</v>
      </c>
      <c r="O187" s="2">
        <v>0</v>
      </c>
      <c r="P187" s="2">
        <v>0</v>
      </c>
      <c r="Q187" s="3">
        <v>0.01</v>
      </c>
    </row>
    <row r="188" spans="1:21" x14ac:dyDescent="0.25">
      <c r="A188" s="4"/>
      <c r="B188" s="5"/>
      <c r="C188" s="5"/>
      <c r="D188" s="25">
        <f>$D$1-D187</f>
        <v>0.61800000000005184</v>
      </c>
      <c r="E188" s="5">
        <f>$E$1-E187</f>
        <v>-0.7920000000001437</v>
      </c>
      <c r="F188" s="5">
        <f>$F$1-F187</f>
        <v>-0.13300000000000267</v>
      </c>
      <c r="G188" s="4">
        <f>$G$1-G187</f>
        <v>-8.1999999999993634E-2</v>
      </c>
      <c r="H188" s="5">
        <f>$H$1-H187</f>
        <v>-3.8000000000000006E-2</v>
      </c>
      <c r="I188" s="5">
        <f>$I$1-I187</f>
        <v>2.3999999999999994E-2</v>
      </c>
      <c r="J188" s="26"/>
      <c r="K188" s="5">
        <f>$K$1-K187</f>
        <v>134.13999999999999</v>
      </c>
      <c r="L188" s="5">
        <f>$L$1-L187</f>
        <v>-281.05</v>
      </c>
      <c r="M188" s="5">
        <f>$M$1-M187</f>
        <v>154.70600000000002</v>
      </c>
      <c r="N188" s="4">
        <f>$N$1-N187</f>
        <v>0.15</v>
      </c>
      <c r="O188" s="5">
        <f>$O$1-O187</f>
        <v>90.01</v>
      </c>
      <c r="P188" s="5">
        <f>$P$1-P187</f>
        <v>0.2</v>
      </c>
      <c r="Q188" s="6"/>
    </row>
    <row r="189" spans="1:21" ht="15.75" thickBot="1" x14ac:dyDescent="0.3">
      <c r="A189" s="4"/>
      <c r="B189" s="5"/>
      <c r="C189" s="5"/>
      <c r="D189" s="37">
        <f>SQRT(D188^2+E188^2+F188^2)</f>
        <v>1.013349396802649</v>
      </c>
      <c r="E189" s="5"/>
      <c r="F189" s="5"/>
      <c r="G189" s="131">
        <f>G188*PI()/180*1000</f>
        <v>-1.431169986635239</v>
      </c>
      <c r="H189" s="132">
        <f>H188*PI()/180*1000</f>
        <v>-0.66322511575784526</v>
      </c>
      <c r="I189" s="132">
        <f>I188*PI()/180*1000</f>
        <v>0.41887902047863895</v>
      </c>
      <c r="J189" s="130">
        <f>SQRT(G189^2+H189^2+I189^2)</f>
        <v>1.6320461753929212</v>
      </c>
      <c r="K189" s="37">
        <f>SQRT(K188^2+L188^2+M188^2)</f>
        <v>347.73062639922875</v>
      </c>
      <c r="L189" s="5"/>
      <c r="M189" s="5"/>
      <c r="N189" s="4"/>
      <c r="O189" s="5"/>
      <c r="P189" s="5"/>
      <c r="Q189" s="6"/>
      <c r="S189" s="42" t="s">
        <v>62</v>
      </c>
    </row>
    <row r="190" spans="1:21" x14ac:dyDescent="0.25">
      <c r="A190" s="1">
        <f>A174</f>
        <v>43293</v>
      </c>
      <c r="B190" s="2"/>
      <c r="C190" s="2" t="s">
        <v>60</v>
      </c>
      <c r="D190" s="21">
        <v>989.99</v>
      </c>
      <c r="E190" s="22">
        <v>1698.4</v>
      </c>
      <c r="F190" s="22">
        <v>40.770000000000003</v>
      </c>
      <c r="G190" s="23">
        <v>-134.88200000000001</v>
      </c>
      <c r="H190" s="22">
        <v>0.16600000000000001</v>
      </c>
      <c r="I190" s="22">
        <v>0.08</v>
      </c>
      <c r="J190" s="24">
        <v>0.06</v>
      </c>
      <c r="K190" s="2">
        <v>457.49</v>
      </c>
      <c r="L190" s="2">
        <v>-7.04</v>
      </c>
      <c r="M190" s="2">
        <v>-44.21</v>
      </c>
      <c r="N190" s="13">
        <v>0</v>
      </c>
      <c r="O190" s="2">
        <v>0</v>
      </c>
      <c r="P190" s="2">
        <v>0</v>
      </c>
      <c r="Q190" s="3">
        <v>0.02</v>
      </c>
      <c r="S190">
        <v>0.28999999999999998</v>
      </c>
      <c r="T190">
        <v>0.14000000000000001</v>
      </c>
      <c r="U190">
        <v>0.38</v>
      </c>
    </row>
    <row r="191" spans="1:21" x14ac:dyDescent="0.25">
      <c r="A191" s="4"/>
      <c r="B191" s="5"/>
      <c r="C191" s="5"/>
      <c r="D191" s="25">
        <f>$D$1-D190</f>
        <v>0.42799999999999727</v>
      </c>
      <c r="E191" s="5">
        <f>$E$1-E190</f>
        <v>-0.75200000000018008</v>
      </c>
      <c r="F191" s="5">
        <f>$F$1-F190</f>
        <v>-0.33300000000000551</v>
      </c>
      <c r="G191" s="4">
        <f>$G$1-G190</f>
        <v>-7.6999999999998181E-2</v>
      </c>
      <c r="H191" s="5">
        <f>$H$1-H190</f>
        <v>-4.300000000000001E-2</v>
      </c>
      <c r="I191" s="5">
        <f>$I$1-I190</f>
        <v>2.7999999999999997E-2</v>
      </c>
      <c r="J191" s="26"/>
      <c r="K191" s="5">
        <f>$K$1-K190</f>
        <v>-212.12</v>
      </c>
      <c r="L191" s="5">
        <f>$L$1-L190</f>
        <v>7.32</v>
      </c>
      <c r="M191" s="5">
        <f>$M$1-M190</f>
        <v>136.60599999999999</v>
      </c>
      <c r="N191" s="4">
        <f>$N$1-N190</f>
        <v>0.15</v>
      </c>
      <c r="O191" s="5">
        <f>$O$1-O190</f>
        <v>90.01</v>
      </c>
      <c r="P191" s="5">
        <f>$P$1-P190</f>
        <v>0.2</v>
      </c>
      <c r="Q191" s="6"/>
      <c r="S191">
        <v>-0.11</v>
      </c>
      <c r="T191">
        <v>0.45</v>
      </c>
      <c r="U191">
        <v>-0.13</v>
      </c>
    </row>
    <row r="192" spans="1:21" ht="15.75" thickBot="1" x14ac:dyDescent="0.3">
      <c r="A192" s="4"/>
      <c r="B192" s="5"/>
      <c r="C192" s="5"/>
      <c r="D192" s="37">
        <f>SQRT(D191^2+E191^2+F191^2)</f>
        <v>0.92713375518329189</v>
      </c>
      <c r="E192" s="5"/>
      <c r="F192" s="5"/>
      <c r="G192" s="131">
        <f>G191*PI()/180*1000</f>
        <v>-1.3439035240356021</v>
      </c>
      <c r="H192" s="132">
        <f>H191*PI()/180*1000</f>
        <v>-0.75049157835756186</v>
      </c>
      <c r="I192" s="132">
        <f>I191*PI()/180*1000</f>
        <v>0.48869219055841223</v>
      </c>
      <c r="J192" s="130">
        <f>SQRT(G192^2+H192^2+I192^2)</f>
        <v>1.6149719341876236</v>
      </c>
      <c r="K192" s="37">
        <f>SQRT(K191^2+L191^2+M191^2)</f>
        <v>252.40775747983659</v>
      </c>
      <c r="L192" s="5"/>
      <c r="M192" s="5"/>
      <c r="N192" s="4"/>
      <c r="O192" s="5"/>
      <c r="P192" s="5"/>
      <c r="Q192" s="6"/>
      <c r="S192">
        <v>0.42</v>
      </c>
      <c r="T192">
        <v>7.0000000000000007E-2</v>
      </c>
      <c r="U192">
        <v>-0.27</v>
      </c>
    </row>
    <row r="193" spans="1:17" x14ac:dyDescent="0.25">
      <c r="A193" s="1">
        <f>A177</f>
        <v>43293</v>
      </c>
      <c r="B193" s="2"/>
      <c r="C193" s="2" t="s">
        <v>61</v>
      </c>
      <c r="D193" s="21">
        <v>989.92</v>
      </c>
      <c r="E193" s="22">
        <v>1698.55</v>
      </c>
      <c r="F193" s="22">
        <v>40.92</v>
      </c>
      <c r="G193" s="23">
        <v>-134.86699999999999</v>
      </c>
      <c r="H193" s="22">
        <v>0.17899999999999999</v>
      </c>
      <c r="I193" s="22">
        <v>7.2999999999999995E-2</v>
      </c>
      <c r="J193" s="24">
        <v>0.08</v>
      </c>
      <c r="K193" s="2">
        <v>111.05</v>
      </c>
      <c r="L193" s="2">
        <v>281.02</v>
      </c>
      <c r="M193" s="2">
        <v>-62.61</v>
      </c>
      <c r="N193" s="13">
        <v>0</v>
      </c>
      <c r="O193" s="2">
        <v>0</v>
      </c>
      <c r="P193" s="2">
        <v>0</v>
      </c>
      <c r="Q193" s="3">
        <v>0.02</v>
      </c>
    </row>
    <row r="194" spans="1:17" x14ac:dyDescent="0.25">
      <c r="A194" s="4"/>
      <c r="B194" s="5"/>
      <c r="C194" s="5"/>
      <c r="D194" s="25">
        <f>$D$1-D193</f>
        <v>0.49800000000004729</v>
      </c>
      <c r="E194" s="5">
        <f>$E$1-E193</f>
        <v>-0.90200000000004366</v>
      </c>
      <c r="F194" s="5">
        <f>$F$1-F193</f>
        <v>-0.48300000000000409</v>
      </c>
      <c r="G194" s="4">
        <f>$G$1-G193</f>
        <v>-9.200000000001296E-2</v>
      </c>
      <c r="H194" s="5">
        <f>$H$1-H193</f>
        <v>-5.5999999999999994E-2</v>
      </c>
      <c r="I194" s="5">
        <f>$I$1-I193</f>
        <v>3.5000000000000003E-2</v>
      </c>
      <c r="J194" s="26"/>
      <c r="K194" s="5">
        <f>$K$1-K193</f>
        <v>134.32</v>
      </c>
      <c r="L194" s="5">
        <f>$L$1-L193</f>
        <v>-280.74</v>
      </c>
      <c r="M194" s="5">
        <f>$M$1-M193</f>
        <v>155.006</v>
      </c>
      <c r="N194" s="4">
        <f>$N$1-N193</f>
        <v>0.15</v>
      </c>
      <c r="O194" s="5">
        <f>$O$1-O193</f>
        <v>90.01</v>
      </c>
      <c r="P194" s="5">
        <f>$P$1-P193</f>
        <v>0.2</v>
      </c>
      <c r="Q194" s="6"/>
    </row>
    <row r="195" spans="1:17" ht="15.75" thickBot="1" x14ac:dyDescent="0.3">
      <c r="A195" s="4"/>
      <c r="B195" s="5"/>
      <c r="C195" s="5"/>
      <c r="D195" s="37">
        <f>SQRT(D194^2+E194^2+F194^2)</f>
        <v>1.1379354111724136</v>
      </c>
      <c r="E195" s="5"/>
      <c r="F195" s="5"/>
      <c r="G195" s="131">
        <f>G194*PI()/180*1000</f>
        <v>-1.6057029118350092</v>
      </c>
      <c r="H195" s="132">
        <f>H194*PI()/180*1000</f>
        <v>-0.97738438111682446</v>
      </c>
      <c r="I195" s="132">
        <f>I194*PI()/180*1000</f>
        <v>0.61086523819801541</v>
      </c>
      <c r="J195" s="130">
        <f>SQRT(G195^2+H195^2+I195^2)</f>
        <v>1.9765420331390029</v>
      </c>
      <c r="K195" s="37">
        <f>SQRT(K194^2+L194^2+M194^2)</f>
        <v>347.68328984292589</v>
      </c>
      <c r="L195" s="5"/>
      <c r="M195" s="5"/>
      <c r="N195" s="4"/>
      <c r="O195" s="5"/>
      <c r="P195" s="5"/>
      <c r="Q195" s="6"/>
    </row>
    <row r="196" spans="1:17" x14ac:dyDescent="0.25">
      <c r="A196" s="1">
        <f>A180</f>
        <v>43293</v>
      </c>
      <c r="B196" s="2"/>
      <c r="C196" s="2" t="s">
        <v>65</v>
      </c>
      <c r="D196" s="21">
        <v>989.13</v>
      </c>
      <c r="E196" s="22">
        <v>1699.35</v>
      </c>
      <c r="F196" s="22">
        <v>40.630000000000003</v>
      </c>
      <c r="G196" s="23">
        <v>-134.86699999999999</v>
      </c>
      <c r="H196" s="22">
        <v>0.17899999999999999</v>
      </c>
      <c r="I196" s="22">
        <v>7.2999999999999995E-2</v>
      </c>
      <c r="J196" s="24">
        <v>0.08</v>
      </c>
      <c r="K196" s="45" t="s">
        <v>106</v>
      </c>
      <c r="L196" s="2">
        <v>281.02</v>
      </c>
      <c r="M196" s="2">
        <v>-62.61</v>
      </c>
      <c r="N196" s="13">
        <v>0</v>
      </c>
      <c r="O196" s="2">
        <v>0</v>
      </c>
      <c r="P196" s="2">
        <v>0</v>
      </c>
      <c r="Q196" s="3">
        <v>0.02</v>
      </c>
    </row>
    <row r="197" spans="1:17" x14ac:dyDescent="0.25">
      <c r="A197" s="4"/>
      <c r="B197" s="5"/>
      <c r="C197" s="5" t="s">
        <v>111</v>
      </c>
      <c r="D197" s="25">
        <f>$D$1-D196</f>
        <v>1.2880000000000109</v>
      </c>
      <c r="E197" s="5">
        <f>$E$1-E196</f>
        <v>-1.7019999999999982</v>
      </c>
      <c r="F197" s="5">
        <f>$F$1-F196</f>
        <v>-0.19300000000000495</v>
      </c>
      <c r="G197" s="4">
        <f>$G$1-G196</f>
        <v>-9.200000000001296E-2</v>
      </c>
      <c r="H197" s="5">
        <f>$H$1-H196</f>
        <v>-5.5999999999999994E-2</v>
      </c>
      <c r="I197" s="5">
        <f>$I$1-I196</f>
        <v>3.5000000000000003E-2</v>
      </c>
      <c r="J197" s="26"/>
      <c r="K197" s="5" t="e">
        <f>$K$1-K196</f>
        <v>#VALUE!</v>
      </c>
      <c r="L197" s="5">
        <f>$L$1-L196</f>
        <v>-280.74</v>
      </c>
      <c r="M197" s="5">
        <f>$M$1-M196</f>
        <v>155.006</v>
      </c>
      <c r="N197" s="4">
        <f>$N$1-N196</f>
        <v>0.15</v>
      </c>
      <c r="O197" s="5">
        <f>$O$1-O196</f>
        <v>90.01</v>
      </c>
      <c r="P197" s="5">
        <f>$P$1-P196</f>
        <v>0.2</v>
      </c>
      <c r="Q197" s="6"/>
    </row>
    <row r="198" spans="1:17" x14ac:dyDescent="0.25">
      <c r="A198" s="4"/>
      <c r="B198" s="5"/>
      <c r="C198" s="5"/>
      <c r="D198" s="37">
        <f>SQRT(D197^2+E197^2+F197^2)</f>
        <v>2.1431278543288133</v>
      </c>
      <c r="E198" s="5"/>
      <c r="F198" s="5"/>
      <c r="G198" s="131">
        <f>G197*PI()/180*1000</f>
        <v>-1.6057029118350092</v>
      </c>
      <c r="H198" s="132">
        <f>H197*PI()/180*1000</f>
        <v>-0.97738438111682446</v>
      </c>
      <c r="I198" s="132">
        <f>I197*PI()/180*1000</f>
        <v>0.61086523819801541</v>
      </c>
      <c r="J198" s="130">
        <f>SQRT(G198^2+H198^2+I198^2)</f>
        <v>1.9765420331390029</v>
      </c>
      <c r="K198" s="37" t="e">
        <f>SQRT(K197^2+L197^2+M197^2)</f>
        <v>#VALUE!</v>
      </c>
      <c r="L198" s="5"/>
      <c r="M198" s="5"/>
      <c r="N198" s="4"/>
      <c r="O198" s="5"/>
      <c r="P198" s="5"/>
      <c r="Q198" s="6"/>
    </row>
    <row r="200" spans="1:17" ht="15.75" thickBot="1" x14ac:dyDescent="0.3">
      <c r="A200" s="43" t="s">
        <v>42</v>
      </c>
    </row>
    <row r="201" spans="1:17" x14ac:dyDescent="0.25">
      <c r="A201" s="1">
        <v>43297</v>
      </c>
      <c r="B201" s="2"/>
      <c r="C201" s="2" t="s">
        <v>66</v>
      </c>
      <c r="D201" s="62">
        <v>989.6</v>
      </c>
      <c r="E201" s="61">
        <v>1698.75</v>
      </c>
      <c r="F201" s="61">
        <v>40.72</v>
      </c>
      <c r="G201" s="85">
        <f>I219</f>
        <v>-134.878987</v>
      </c>
      <c r="H201" s="86">
        <f>H219</f>
        <v>0.19392400000000001</v>
      </c>
      <c r="I201" s="86">
        <f>G219</f>
        <v>1.9005000000000008E-2</v>
      </c>
      <c r="J201" s="24">
        <v>0.09</v>
      </c>
      <c r="K201" s="45" t="s">
        <v>106</v>
      </c>
      <c r="L201" s="45"/>
      <c r="M201" s="45"/>
      <c r="N201" s="46"/>
      <c r="O201" s="45"/>
      <c r="P201" s="45"/>
      <c r="Q201" s="47"/>
    </row>
    <row r="202" spans="1:17" x14ac:dyDescent="0.25">
      <c r="A202" s="4"/>
      <c r="B202" s="5"/>
      <c r="C202" s="5" t="s">
        <v>68</v>
      </c>
      <c r="D202" s="63">
        <f>$D$1-D201</f>
        <v>0.81799999999998363</v>
      </c>
      <c r="E202" s="60">
        <f>$E$1-E201</f>
        <v>-1.1020000000000891</v>
      </c>
      <c r="F202" s="60">
        <f>$F$1-F201</f>
        <v>-0.28300000000000125</v>
      </c>
      <c r="G202" s="59">
        <f>$G$1-G201</f>
        <v>-8.0013000000008105E-2</v>
      </c>
      <c r="H202" s="60">
        <f>$H$1-H201</f>
        <v>-7.0924000000000015E-2</v>
      </c>
      <c r="I202" s="60">
        <f>$I$1-I201</f>
        <v>8.8994999999999991E-2</v>
      </c>
      <c r="J202" s="26"/>
      <c r="K202" s="5" t="e">
        <f>$K$1-K201</f>
        <v>#VALUE!</v>
      </c>
      <c r="L202" s="5">
        <f>$L$1-L201</f>
        <v>0.28000000000000003</v>
      </c>
      <c r="M202" s="5">
        <f>$M$1-M201</f>
        <v>92.396000000000001</v>
      </c>
      <c r="N202" s="4">
        <f>$N$1-N201</f>
        <v>0.15</v>
      </c>
      <c r="O202" s="5">
        <f>$O$1-O201</f>
        <v>90.01</v>
      </c>
      <c r="P202" s="5">
        <f>$P$1-P201</f>
        <v>0.2</v>
      </c>
      <c r="Q202" s="6"/>
    </row>
    <row r="203" spans="1:17" ht="15.75" thickBot="1" x14ac:dyDescent="0.3">
      <c r="A203" s="4"/>
      <c r="B203" s="5"/>
      <c r="C203" s="5"/>
      <c r="D203" s="37">
        <f>SQRT(D202^2+E202^2+F202^2)</f>
        <v>1.4012911902956395</v>
      </c>
      <c r="E203" s="5"/>
      <c r="F203" s="5"/>
      <c r="G203" s="131">
        <f>G202*PI()/180*1000</f>
        <v>-1.3964902943983641</v>
      </c>
      <c r="H203" s="132">
        <f>H202*PI()/180*1000</f>
        <v>-1.2378573186844586</v>
      </c>
      <c r="I203" s="132">
        <f>I202*PI()/180*1000</f>
        <v>1.5532557678123535</v>
      </c>
      <c r="J203" s="130">
        <f>SQRT(G203^2+H203^2+I203^2)</f>
        <v>2.4279784521308772</v>
      </c>
      <c r="K203" s="37" t="e">
        <f>SQRT(K202^2+L202^2+M202^2)</f>
        <v>#VALUE!</v>
      </c>
      <c r="L203" s="5"/>
      <c r="M203" s="5"/>
      <c r="N203" s="4"/>
      <c r="O203" s="5"/>
      <c r="P203" s="5"/>
      <c r="Q203" s="6"/>
    </row>
    <row r="204" spans="1:17" x14ac:dyDescent="0.25">
      <c r="A204" s="1">
        <f>A201</f>
        <v>43297</v>
      </c>
      <c r="B204" s="2"/>
      <c r="C204" s="2" t="s">
        <v>67</v>
      </c>
      <c r="D204" s="21">
        <v>989.7</v>
      </c>
      <c r="E204" s="22">
        <v>1698.59</v>
      </c>
      <c r="F204" s="22">
        <f>-659.16+700</f>
        <v>40.840000000000032</v>
      </c>
      <c r="G204" s="85">
        <f>G201</f>
        <v>-134.878987</v>
      </c>
      <c r="H204" s="86">
        <f>H201</f>
        <v>0.19392400000000001</v>
      </c>
      <c r="I204" s="86">
        <f>I201</f>
        <v>1.9005000000000008E-2</v>
      </c>
      <c r="J204" s="24">
        <v>0.09</v>
      </c>
      <c r="K204" s="45" t="s">
        <v>106</v>
      </c>
      <c r="L204" s="45"/>
      <c r="M204" s="45"/>
      <c r="N204" s="46"/>
      <c r="O204" s="45"/>
      <c r="P204" s="45"/>
      <c r="Q204" s="47"/>
    </row>
    <row r="205" spans="1:17" x14ac:dyDescent="0.25">
      <c r="A205" s="4"/>
      <c r="B205" s="5"/>
      <c r="C205" s="64" t="s">
        <v>101</v>
      </c>
      <c r="D205" s="25">
        <f>$D$1-D204</f>
        <v>0.71799999999996089</v>
      </c>
      <c r="E205" s="5">
        <f>$E$1-E204</f>
        <v>-0.94200000000000728</v>
      </c>
      <c r="F205" s="5">
        <f>$F$1-F204</f>
        <v>-0.40300000000003422</v>
      </c>
      <c r="G205" s="59">
        <f>$G$1-G204</f>
        <v>-8.0013000000008105E-2</v>
      </c>
      <c r="H205" s="60">
        <f>$H$1-H204</f>
        <v>-7.0924000000000015E-2</v>
      </c>
      <c r="I205" s="60">
        <f>$I$1-I204</f>
        <v>8.8994999999999991E-2</v>
      </c>
      <c r="J205" s="26"/>
      <c r="K205" s="5" t="e">
        <f>$K$1-K204</f>
        <v>#VALUE!</v>
      </c>
      <c r="L205" s="5">
        <f>$L$1-L204</f>
        <v>0.28000000000000003</v>
      </c>
      <c r="M205" s="5">
        <f>$M$1-M204</f>
        <v>92.396000000000001</v>
      </c>
      <c r="N205" s="4">
        <f>$N$1-N204</f>
        <v>0.15</v>
      </c>
      <c r="O205" s="5">
        <f>$O$1-O204</f>
        <v>90.01</v>
      </c>
      <c r="P205" s="5">
        <f>$P$1-P204</f>
        <v>0.2</v>
      </c>
      <c r="Q205" s="6"/>
    </row>
    <row r="206" spans="1:17" ht="15.75" thickBot="1" x14ac:dyDescent="0.3">
      <c r="A206" s="4"/>
      <c r="B206" s="5"/>
      <c r="C206" s="58" t="s">
        <v>105</v>
      </c>
      <c r="D206" s="37">
        <f>SQRT(D205^2+E205^2+F205^2)</f>
        <v>1.2511182997622508</v>
      </c>
      <c r="E206" s="5"/>
      <c r="F206" s="5"/>
      <c r="G206" s="131">
        <f>G205*PI()/180*1000</f>
        <v>-1.3964902943983641</v>
      </c>
      <c r="H206" s="132">
        <f>H205*PI()/180*1000</f>
        <v>-1.2378573186844586</v>
      </c>
      <c r="I206" s="132">
        <f>I205*PI()/180*1000</f>
        <v>1.5532557678123535</v>
      </c>
      <c r="J206" s="130">
        <f>SQRT(G206^2+H206^2+I206^2)</f>
        <v>2.4279784521308772</v>
      </c>
      <c r="K206" s="37" t="e">
        <f>SQRT(K205^2+L205^2+M205^2)</f>
        <v>#VALUE!</v>
      </c>
      <c r="L206" s="5"/>
      <c r="M206" s="5"/>
      <c r="N206" s="4"/>
      <c r="O206" s="5"/>
      <c r="P206" s="5"/>
      <c r="Q206" s="6"/>
    </row>
    <row r="207" spans="1:17" x14ac:dyDescent="0.25">
      <c r="A207" s="1">
        <f>A204</f>
        <v>43297</v>
      </c>
      <c r="B207" s="2"/>
      <c r="C207" s="2" t="s">
        <v>69</v>
      </c>
      <c r="D207" s="21">
        <v>990.03</v>
      </c>
      <c r="E207" s="22">
        <v>1698.17</v>
      </c>
      <c r="F207" s="22">
        <v>40.9</v>
      </c>
      <c r="G207" s="23">
        <v>-134.88499999999999</v>
      </c>
      <c r="H207" s="22">
        <v>0.16900000000000001</v>
      </c>
      <c r="I207" s="22">
        <v>8.5999999999999993E-2</v>
      </c>
      <c r="J207" s="24">
        <v>0.05</v>
      </c>
      <c r="K207" s="45">
        <v>-15.77</v>
      </c>
      <c r="L207" s="45">
        <v>108.58</v>
      </c>
      <c r="M207" s="45">
        <v>8.9499999999999993</v>
      </c>
      <c r="N207" s="46">
        <v>0</v>
      </c>
      <c r="O207" s="45">
        <v>0</v>
      </c>
      <c r="P207" s="45">
        <v>0</v>
      </c>
      <c r="Q207" s="47">
        <v>0.01</v>
      </c>
    </row>
    <row r="208" spans="1:17" x14ac:dyDescent="0.25">
      <c r="A208" s="4"/>
      <c r="B208" s="5"/>
      <c r="C208" s="5" t="s">
        <v>70</v>
      </c>
      <c r="D208" s="25">
        <f>$D$1-D207</f>
        <v>0.38800000000003365</v>
      </c>
      <c r="E208" s="5">
        <f>$E$1-E207</f>
        <v>-0.52200000000016189</v>
      </c>
      <c r="F208" s="5">
        <f>$F$1-F207</f>
        <v>-0.46300000000000097</v>
      </c>
      <c r="G208" s="4">
        <f>$G$1-G207</f>
        <v>-7.4000000000012278E-2</v>
      </c>
      <c r="H208" s="5">
        <f>$H$1-H207</f>
        <v>-4.6000000000000013E-2</v>
      </c>
      <c r="I208" s="5">
        <f>$I$1-I207</f>
        <v>2.2000000000000006E-2</v>
      </c>
      <c r="J208" s="26"/>
      <c r="K208" s="5">
        <f>$K$1-K207</f>
        <v>261.14</v>
      </c>
      <c r="L208" s="5">
        <f>$L$1-L207</f>
        <v>-108.3</v>
      </c>
      <c r="M208" s="5">
        <f>$M$1-M207</f>
        <v>83.445999999999998</v>
      </c>
      <c r="N208" s="4">
        <f>$N$1-N207</f>
        <v>0.15</v>
      </c>
      <c r="O208" s="5">
        <f>$O$1-O207</f>
        <v>90.01</v>
      </c>
      <c r="P208" s="5">
        <f>$P$1-P207</f>
        <v>0.2</v>
      </c>
      <c r="Q208" s="6"/>
    </row>
    <row r="209" spans="1:17" ht="15.75" thickBot="1" x14ac:dyDescent="0.3">
      <c r="A209" s="4"/>
      <c r="B209" s="5"/>
      <c r="C209" s="5"/>
      <c r="D209" s="37">
        <f>SQRT(D208^2+E208^2+F208^2)</f>
        <v>0.7983714674261575</v>
      </c>
      <c r="E209" s="5"/>
      <c r="F209" s="5"/>
      <c r="G209" s="131">
        <f>G208*PI()/180*1000</f>
        <v>-1.2915436464760182</v>
      </c>
      <c r="H209" s="132">
        <f>H208*PI()/180*1000</f>
        <v>-0.80285145591739182</v>
      </c>
      <c r="I209" s="132">
        <f>I208*PI()/180*1000</f>
        <v>0.38397243543875259</v>
      </c>
      <c r="J209" s="130">
        <f>SQRT(G209^2+H209^2+I209^2)</f>
        <v>1.5684674947852801</v>
      </c>
      <c r="K209" s="37">
        <f>SQRT(K208^2+L208^2+M208^2)</f>
        <v>294.76469346921448</v>
      </c>
      <c r="L209" s="5"/>
      <c r="M209" s="5"/>
      <c r="N209" s="4"/>
      <c r="O209" s="5"/>
      <c r="P209" s="5"/>
      <c r="Q209" s="6"/>
    </row>
    <row r="210" spans="1:17" x14ac:dyDescent="0.25">
      <c r="A210" s="1">
        <f>A207</f>
        <v>43297</v>
      </c>
      <c r="B210" s="2"/>
      <c r="C210" s="2" t="s">
        <v>94</v>
      </c>
      <c r="D210" s="21">
        <v>989.94</v>
      </c>
      <c r="E210" s="22">
        <v>1698.25</v>
      </c>
      <c r="F210" s="22">
        <v>40.93</v>
      </c>
      <c r="G210" s="23">
        <v>-134.88300000000001</v>
      </c>
      <c r="H210" s="22">
        <v>0.17</v>
      </c>
      <c r="I210" s="22">
        <v>8.3000000000000004E-2</v>
      </c>
      <c r="J210" s="24">
        <v>0.06</v>
      </c>
      <c r="K210" s="45">
        <v>246.11</v>
      </c>
      <c r="L210" s="45">
        <v>0.15</v>
      </c>
      <c r="M210" s="45">
        <v>92.56</v>
      </c>
      <c r="N210" s="46">
        <v>0</v>
      </c>
      <c r="O210" s="45">
        <v>0</v>
      </c>
      <c r="P210" s="45">
        <v>0</v>
      </c>
      <c r="Q210" s="47">
        <v>0.01</v>
      </c>
    </row>
    <row r="211" spans="1:17" x14ac:dyDescent="0.25">
      <c r="A211" s="4"/>
      <c r="B211" s="5"/>
      <c r="C211" s="58" t="s">
        <v>298</v>
      </c>
      <c r="D211" s="25">
        <f>$D$1-D210</f>
        <v>0.4779999999999518</v>
      </c>
      <c r="E211" s="5">
        <f>$E$1-E210</f>
        <v>-0.60200000000008913</v>
      </c>
      <c r="F211" s="5">
        <f>$F$1-F210</f>
        <v>-0.4930000000000021</v>
      </c>
      <c r="G211" s="4">
        <f>$G$1-G210</f>
        <v>-7.5999999999993406E-2</v>
      </c>
      <c r="H211" s="5">
        <f>$H$1-H210</f>
        <v>-4.7000000000000014E-2</v>
      </c>
      <c r="I211" s="5">
        <f>$I$1-I210</f>
        <v>2.4999999999999994E-2</v>
      </c>
      <c r="J211" s="26"/>
      <c r="K211" s="5">
        <f>$K$1-K210</f>
        <v>-0.74000000000000909</v>
      </c>
      <c r="L211" s="5">
        <f>$L$1-L210</f>
        <v>0.13000000000000003</v>
      </c>
      <c r="M211" s="5">
        <f>$M$1-M210</f>
        <v>-0.16400000000000148</v>
      </c>
      <c r="N211" s="4">
        <f>$N$1-N210</f>
        <v>0.15</v>
      </c>
      <c r="O211" s="5">
        <f>$O$1-O210</f>
        <v>90.01</v>
      </c>
      <c r="P211" s="5">
        <f>$P$1-P210</f>
        <v>0.2</v>
      </c>
      <c r="Q211" s="6"/>
    </row>
    <row r="212" spans="1:17" ht="15.75" thickBot="1" x14ac:dyDescent="0.3">
      <c r="A212" s="4"/>
      <c r="B212" s="5"/>
      <c r="C212" s="58" t="s">
        <v>35</v>
      </c>
      <c r="D212" s="37">
        <f>SQRT(D211^2+E211^2+F211^2)</f>
        <v>0.91320151116829817</v>
      </c>
      <c r="E212" s="5"/>
      <c r="F212" s="5"/>
      <c r="G212" s="131">
        <f>G211*PI()/180*1000</f>
        <v>-1.3264502315155755</v>
      </c>
      <c r="H212" s="132">
        <f>H211*PI()/180*1000</f>
        <v>-0.82030474843733503</v>
      </c>
      <c r="I212" s="132">
        <f>I211*PI()/180*1000</f>
        <v>0.43633231299858227</v>
      </c>
      <c r="J212" s="130">
        <f>SQRT(G212^2+H212^2+I212^2)</f>
        <v>1.61949250827636</v>
      </c>
      <c r="K212" s="37">
        <f>SQRT(K211^2+L211^2+M211^2)</f>
        <v>0.76902275649034857</v>
      </c>
      <c r="L212" s="5"/>
      <c r="M212" s="5"/>
      <c r="N212" s="4"/>
      <c r="O212" s="5"/>
      <c r="P212" s="5"/>
      <c r="Q212" s="6"/>
    </row>
    <row r="213" spans="1:17" x14ac:dyDescent="0.25">
      <c r="A213" s="1">
        <f>A210</f>
        <v>43297</v>
      </c>
      <c r="B213" s="2"/>
      <c r="C213" s="2" t="s">
        <v>94</v>
      </c>
      <c r="D213" s="21">
        <v>989.86</v>
      </c>
      <c r="E213" s="22">
        <v>1698.27</v>
      </c>
      <c r="F213" s="22">
        <v>40.81</v>
      </c>
      <c r="G213" s="23">
        <v>-134.881</v>
      </c>
      <c r="H213" s="22">
        <v>0.16600000000000001</v>
      </c>
      <c r="I213" s="22">
        <v>8.2000000000000003E-2</v>
      </c>
      <c r="J213" s="24">
        <v>0.06</v>
      </c>
      <c r="K213" s="45">
        <v>246.08</v>
      </c>
      <c r="L213" s="45">
        <v>0.16</v>
      </c>
      <c r="M213" s="45">
        <v>92.59</v>
      </c>
      <c r="N213" s="46">
        <v>0</v>
      </c>
      <c r="O213" s="45">
        <v>0</v>
      </c>
      <c r="P213" s="45">
        <v>0</v>
      </c>
      <c r="Q213" s="47">
        <v>0.01</v>
      </c>
    </row>
    <row r="214" spans="1:17" x14ac:dyDescent="0.25">
      <c r="A214" s="4"/>
      <c r="B214" s="5"/>
      <c r="C214" s="58" t="s">
        <v>298</v>
      </c>
      <c r="D214" s="25">
        <f>$D$1-D213</f>
        <v>0.55799999999999272</v>
      </c>
      <c r="E214" s="5">
        <f>$E$1-E213</f>
        <v>-0.62200000000007094</v>
      </c>
      <c r="F214" s="5">
        <f>$F$1-F213</f>
        <v>-0.37300000000000466</v>
      </c>
      <c r="G214" s="4">
        <f>$G$1-G213</f>
        <v>-7.8000000000002956E-2</v>
      </c>
      <c r="H214" s="5">
        <f>$H$1-H213</f>
        <v>-4.300000000000001E-2</v>
      </c>
      <c r="I214" s="5">
        <f>$I$1-I213</f>
        <v>2.5999999999999995E-2</v>
      </c>
      <c r="J214" s="26"/>
      <c r="K214" s="5">
        <f>$K$1-K213</f>
        <v>-0.71000000000000796</v>
      </c>
      <c r="L214" s="5">
        <f>$L$1-L213</f>
        <v>0.12000000000000002</v>
      </c>
      <c r="M214" s="5">
        <f>$M$1-M213</f>
        <v>-0.19400000000000261</v>
      </c>
      <c r="N214" s="4">
        <f>$N$1-N213</f>
        <v>0.15</v>
      </c>
      <c r="O214" s="5">
        <f>$O$1-O213</f>
        <v>90.01</v>
      </c>
      <c r="P214" s="5">
        <f>$P$1-P213</f>
        <v>0.2</v>
      </c>
      <c r="Q214" s="6"/>
    </row>
    <row r="215" spans="1:17" x14ac:dyDescent="0.25">
      <c r="A215" s="4"/>
      <c r="B215" s="5"/>
      <c r="C215" s="58" t="s">
        <v>36</v>
      </c>
      <c r="D215" s="37">
        <f>SQRT(D214^2+E214^2+F214^2)</f>
        <v>0.91508305633974207</v>
      </c>
      <c r="E215" s="5"/>
      <c r="F215" s="5"/>
      <c r="G215" s="131">
        <f>G214*PI()/180*1000</f>
        <v>-1.3613568165556287</v>
      </c>
      <c r="H215" s="132">
        <f>H214*PI()/180*1000</f>
        <v>-0.75049157835756186</v>
      </c>
      <c r="I215" s="132">
        <f>I214*PI()/180*1000</f>
        <v>0.45378560551852559</v>
      </c>
      <c r="J215" s="130">
        <f>SQRT(G215^2+H215^2+I215^2)</f>
        <v>1.6193984583615963</v>
      </c>
      <c r="K215" s="37">
        <f>SQRT(K214^2+L214^2+M214^2)</f>
        <v>0.7457452648190348</v>
      </c>
      <c r="L215" s="5"/>
      <c r="M215" s="5"/>
      <c r="N215" s="4"/>
      <c r="O215" s="5"/>
      <c r="P215" s="5"/>
      <c r="Q215" s="6"/>
    </row>
    <row r="217" spans="1:17" x14ac:dyDescent="0.25">
      <c r="F217" s="79" t="s">
        <v>95</v>
      </c>
      <c r="G217" s="80">
        <v>0.139517</v>
      </c>
      <c r="H217" s="80">
        <v>0.360375</v>
      </c>
      <c r="I217" s="80">
        <v>14.730384000000001</v>
      </c>
    </row>
    <row r="218" spans="1:17" x14ac:dyDescent="0.25">
      <c r="F218" s="79" t="s">
        <v>96</v>
      </c>
      <c r="G218" s="80">
        <v>0.12051199999999999</v>
      </c>
      <c r="H218" s="80">
        <v>0.16645099999999999</v>
      </c>
      <c r="I218" s="80">
        <v>149.60937100000001</v>
      </c>
    </row>
    <row r="219" spans="1:17" x14ac:dyDescent="0.25">
      <c r="F219" s="81" t="s">
        <v>97</v>
      </c>
      <c r="G219" s="82">
        <f>G217-G218</f>
        <v>1.9005000000000008E-2</v>
      </c>
      <c r="H219" s="82">
        <f t="shared" ref="H219:I219" si="29">H217-H218</f>
        <v>0.19392400000000001</v>
      </c>
      <c r="I219" s="82">
        <f t="shared" si="29"/>
        <v>-134.878987</v>
      </c>
    </row>
    <row r="220" spans="1:17" x14ac:dyDescent="0.25">
      <c r="A220" s="91"/>
      <c r="B220" s="91"/>
      <c r="F220" s="83"/>
      <c r="G220" s="84" t="s">
        <v>99</v>
      </c>
      <c r="H220" s="84" t="s">
        <v>100</v>
      </c>
      <c r="I220" s="84" t="s">
        <v>98</v>
      </c>
    </row>
    <row r="221" spans="1:17" x14ac:dyDescent="0.25">
      <c r="A221" s="91"/>
      <c r="B221" s="91"/>
    </row>
    <row r="222" spans="1:17" x14ac:dyDescent="0.25">
      <c r="A222" s="91"/>
      <c r="B222" s="91"/>
      <c r="J222" s="89"/>
    </row>
    <row r="223" spans="1:17" x14ac:dyDescent="0.25">
      <c r="A223" s="91"/>
      <c r="B223" s="91"/>
      <c r="F223" s="65" t="s">
        <v>95</v>
      </c>
      <c r="G223" s="66">
        <v>-5.4086000000000002E-2</v>
      </c>
      <c r="H223" s="66">
        <v>-0.38208300000000001</v>
      </c>
      <c r="I223" s="66">
        <v>-152.184414</v>
      </c>
      <c r="K223" s="71" t="s">
        <v>95</v>
      </c>
      <c r="L223" s="72">
        <v>-5.4086000000000002E-2</v>
      </c>
      <c r="M223" s="72">
        <v>-0.38208300000000001</v>
      </c>
      <c r="N223" s="72">
        <v>-152.184414</v>
      </c>
    </row>
    <row r="224" spans="1:17" x14ac:dyDescent="0.25">
      <c r="A224" s="91"/>
      <c r="B224" s="91"/>
      <c r="F224" s="65" t="s">
        <v>96</v>
      </c>
      <c r="G224" s="66">
        <v>-5.7504E-2</v>
      </c>
      <c r="H224" s="66">
        <v>-0.20565700000000001</v>
      </c>
      <c r="I224" s="66">
        <v>-17.294806000000001</v>
      </c>
      <c r="K224" s="71" t="s">
        <v>96</v>
      </c>
      <c r="L224" s="72">
        <v>-5.7839000000000002E-2</v>
      </c>
      <c r="M224" s="72">
        <v>-0.19669600000000001</v>
      </c>
      <c r="N224" s="72">
        <v>-17.304587000000001</v>
      </c>
    </row>
    <row r="225" spans="1:17" x14ac:dyDescent="0.25">
      <c r="A225" s="91"/>
      <c r="B225" s="91"/>
      <c r="F225" s="67" t="s">
        <v>97</v>
      </c>
      <c r="G225" s="68">
        <f>G223-G224</f>
        <v>3.4179999999999974E-3</v>
      </c>
      <c r="H225" s="68">
        <f>H223-H224</f>
        <v>-0.176426</v>
      </c>
      <c r="I225" s="68">
        <f t="shared" ref="I225" si="30">I223-I224</f>
        <v>-134.88960800000001</v>
      </c>
      <c r="K225" s="73" t="s">
        <v>97</v>
      </c>
      <c r="L225" s="74">
        <f>L223-L224</f>
        <v>3.7529999999999994E-3</v>
      </c>
      <c r="M225" s="74">
        <f t="shared" ref="M225:N225" si="31">M223-M224</f>
        <v>-0.185387</v>
      </c>
      <c r="N225" s="74">
        <f t="shared" si="31"/>
        <v>-134.87982700000001</v>
      </c>
    </row>
    <row r="226" spans="1:17" x14ac:dyDescent="0.25">
      <c r="A226" s="133"/>
      <c r="B226" s="133"/>
      <c r="F226" s="69"/>
      <c r="G226" s="70" t="s">
        <v>99</v>
      </c>
      <c r="H226" s="70" t="s">
        <v>100</v>
      </c>
      <c r="I226" s="70" t="s">
        <v>98</v>
      </c>
      <c r="K226" s="75"/>
      <c r="L226" s="76" t="s">
        <v>99</v>
      </c>
      <c r="M226" s="76" t="s">
        <v>100</v>
      </c>
      <c r="N226" s="76" t="s">
        <v>98</v>
      </c>
    </row>
    <row r="229" spans="1:17" ht="15.75" thickBot="1" x14ac:dyDescent="0.3">
      <c r="A229" s="43" t="s">
        <v>43</v>
      </c>
      <c r="C229" t="s">
        <v>108</v>
      </c>
    </row>
    <row r="230" spans="1:17" x14ac:dyDescent="0.25">
      <c r="A230" s="1">
        <v>43298</v>
      </c>
      <c r="B230" s="2"/>
      <c r="C230" s="2" t="s">
        <v>102</v>
      </c>
      <c r="D230" s="62">
        <v>989.76</v>
      </c>
      <c r="E230" s="61">
        <v>1698.26</v>
      </c>
      <c r="F230" s="61">
        <f>-559.41+600</f>
        <v>40.590000000000032</v>
      </c>
      <c r="G230" s="77">
        <f>I225</f>
        <v>-134.88960800000001</v>
      </c>
      <c r="H230" s="78">
        <f>H225</f>
        <v>-0.176426</v>
      </c>
      <c r="I230" s="78">
        <f>G225</f>
        <v>3.4179999999999974E-3</v>
      </c>
      <c r="J230" s="24">
        <v>0.09</v>
      </c>
      <c r="K230" s="45" t="s">
        <v>106</v>
      </c>
      <c r="L230" s="45"/>
      <c r="M230" s="45"/>
      <c r="N230" s="46"/>
      <c r="O230" s="45"/>
      <c r="P230" s="45"/>
      <c r="Q230" s="47"/>
    </row>
    <row r="231" spans="1:17" ht="15.75" thickBot="1" x14ac:dyDescent="0.3">
      <c r="A231" s="4"/>
      <c r="B231" s="5"/>
      <c r="C231" s="5" t="s">
        <v>103</v>
      </c>
      <c r="D231" s="63">
        <f>$D$1-D230</f>
        <v>0.65800000000001546</v>
      </c>
      <c r="E231" s="60">
        <f>$E$1-E230</f>
        <v>-0.61200000000008004</v>
      </c>
      <c r="F231" s="60">
        <f>$F$1-F230</f>
        <v>-0.15300000000003422</v>
      </c>
      <c r="G231" s="59">
        <f>$G$1-G230</f>
        <v>-6.9391999999993459E-2</v>
      </c>
      <c r="H231" s="60">
        <f>$H$1-H230</f>
        <v>0.29942599999999997</v>
      </c>
      <c r="I231" s="60">
        <f>$I$1-I230</f>
        <v>0.10458200000000001</v>
      </c>
      <c r="J231" s="26"/>
      <c r="K231" s="5" t="e">
        <f>$K$1-K230</f>
        <v>#VALUE!</v>
      </c>
      <c r="L231" s="5">
        <f>$L$1-L230</f>
        <v>0.28000000000000003</v>
      </c>
      <c r="M231" s="5">
        <f>$M$1-M230</f>
        <v>92.396000000000001</v>
      </c>
      <c r="N231" s="4">
        <f>$N$1-N230</f>
        <v>0.15</v>
      </c>
      <c r="O231" s="5">
        <f>$O$1-O230</f>
        <v>90.01</v>
      </c>
      <c r="P231" s="5">
        <f>$P$1-P230</f>
        <v>0.2</v>
      </c>
      <c r="Q231" s="6"/>
    </row>
    <row r="232" spans="1:17" ht="15.75" thickBot="1" x14ac:dyDescent="0.3">
      <c r="A232" s="4"/>
      <c r="B232" s="5"/>
      <c r="C232" s="58" t="s">
        <v>107</v>
      </c>
      <c r="D232" s="37">
        <f>SQRT(D231^2+E231^2+F231^2)</f>
        <v>0.91154648811792849</v>
      </c>
      <c r="E232" s="5"/>
      <c r="F232" s="5"/>
      <c r="G232" s="77">
        <f>I225</f>
        <v>-134.88960800000001</v>
      </c>
      <c r="H232" s="78">
        <f>H225*-1</f>
        <v>0.176426</v>
      </c>
      <c r="I232" s="78">
        <f>G225</f>
        <v>3.4179999999999974E-3</v>
      </c>
      <c r="J232" s="90"/>
      <c r="K232" s="37" t="e">
        <f>SQRT(K231^2+L231^2+M231^2)</f>
        <v>#VALUE!</v>
      </c>
      <c r="L232" s="5"/>
      <c r="M232" s="5"/>
      <c r="N232" s="4"/>
      <c r="O232" s="5"/>
      <c r="P232" s="5"/>
      <c r="Q232" s="6"/>
    </row>
    <row r="233" spans="1:17" x14ac:dyDescent="0.25">
      <c r="A233" s="1">
        <f>A230</f>
        <v>43298</v>
      </c>
      <c r="B233" s="2"/>
      <c r="C233" s="2" t="s">
        <v>102</v>
      </c>
      <c r="D233" s="21">
        <v>989.7</v>
      </c>
      <c r="E233" s="22">
        <v>1698.47</v>
      </c>
      <c r="F233" s="22">
        <f>-559.35+600</f>
        <v>40.649999999999977</v>
      </c>
      <c r="G233" s="87">
        <f>N225</f>
        <v>-134.87982700000001</v>
      </c>
      <c r="H233" s="88">
        <f>M225</f>
        <v>-0.185387</v>
      </c>
      <c r="I233" s="88">
        <f>L225</f>
        <v>3.7529999999999994E-3</v>
      </c>
      <c r="J233" s="24">
        <v>0.09</v>
      </c>
      <c r="K233" s="45" t="s">
        <v>106</v>
      </c>
      <c r="L233" s="45"/>
      <c r="M233" s="45"/>
      <c r="N233" s="46"/>
      <c r="O233" s="45"/>
      <c r="P233" s="45"/>
      <c r="Q233" s="47"/>
    </row>
    <row r="234" spans="1:17" ht="15.75" thickBot="1" x14ac:dyDescent="0.3">
      <c r="A234" s="4"/>
      <c r="B234" s="5"/>
      <c r="C234" s="5" t="s">
        <v>104</v>
      </c>
      <c r="D234" s="25">
        <f>$D$1-D233</f>
        <v>0.71799999999996089</v>
      </c>
      <c r="E234" s="5">
        <f>$E$1-E233</f>
        <v>-0.82200000000011642</v>
      </c>
      <c r="F234" s="5">
        <f>$F$1-F233</f>
        <v>-0.21299999999997965</v>
      </c>
      <c r="G234" s="59">
        <f>$G$1-G233</f>
        <v>-7.9172999999997273E-2</v>
      </c>
      <c r="H234" s="60">
        <f>$H$1-H233</f>
        <v>0.30838699999999997</v>
      </c>
      <c r="I234" s="60">
        <f>$I$1-I233</f>
        <v>0.10424700000000001</v>
      </c>
      <c r="J234" s="26"/>
      <c r="K234" s="5" t="e">
        <f>$K$1-K233</f>
        <v>#VALUE!</v>
      </c>
      <c r="L234" s="5">
        <f>$L$1-L233</f>
        <v>0.28000000000000003</v>
      </c>
      <c r="M234" s="5">
        <f>$M$1-M233</f>
        <v>92.396000000000001</v>
      </c>
      <c r="N234" s="4">
        <f>$N$1-N233</f>
        <v>0.15</v>
      </c>
      <c r="O234" s="5">
        <f>$O$1-O233</f>
        <v>90.01</v>
      </c>
      <c r="P234" s="5">
        <f>$P$1-P233</f>
        <v>0.2</v>
      </c>
      <c r="Q234" s="6"/>
    </row>
    <row r="235" spans="1:17" ht="15.75" thickBot="1" x14ac:dyDescent="0.3">
      <c r="B235" s="92" t="s">
        <v>110</v>
      </c>
      <c r="C235" s="58" t="s">
        <v>109</v>
      </c>
      <c r="D235" s="37">
        <f>SQRT(D234^2+E234^2+F234^2)</f>
        <v>1.1120148380305572</v>
      </c>
      <c r="E235" s="5"/>
      <c r="F235" s="5"/>
      <c r="G235" s="87">
        <f>N225</f>
        <v>-134.87982700000001</v>
      </c>
      <c r="H235" s="88">
        <f>M225*-1</f>
        <v>0.185387</v>
      </c>
      <c r="I235" s="88">
        <f>L225</f>
        <v>3.7529999999999994E-3</v>
      </c>
      <c r="J235" s="90"/>
      <c r="K235" s="37" t="e">
        <f>SQRT(K234^2+L234^2+M234^2)</f>
        <v>#VALUE!</v>
      </c>
      <c r="L235" s="5"/>
      <c r="M235" s="5"/>
      <c r="N235" s="4"/>
      <c r="O235" s="5"/>
      <c r="P235" s="5"/>
      <c r="Q235" s="6"/>
    </row>
    <row r="236" spans="1:17" x14ac:dyDescent="0.25">
      <c r="A236" s="1">
        <f>A230</f>
        <v>43298</v>
      </c>
      <c r="B236" s="2"/>
      <c r="C236" s="2" t="s">
        <v>316</v>
      </c>
      <c r="D236" s="62">
        <v>990.03</v>
      </c>
      <c r="E236" s="61">
        <v>1698.21</v>
      </c>
      <c r="F236" s="61">
        <v>40.659999999999997</v>
      </c>
      <c r="G236" s="95">
        <v>-134.887</v>
      </c>
      <c r="H236" s="96">
        <v>0.16900000000000001</v>
      </c>
      <c r="I236" s="96">
        <v>8.3000000000000004E-2</v>
      </c>
      <c r="J236" s="24">
        <v>7.0000000000000007E-2</v>
      </c>
      <c r="K236" s="45">
        <v>246.2</v>
      </c>
      <c r="L236" s="45">
        <v>0.19</v>
      </c>
      <c r="M236" s="45">
        <v>92.6</v>
      </c>
      <c r="N236" s="46">
        <v>0</v>
      </c>
      <c r="O236" s="45">
        <v>0</v>
      </c>
      <c r="P236" s="45">
        <v>0</v>
      </c>
      <c r="Q236" s="47">
        <v>0.02</v>
      </c>
    </row>
    <row r="237" spans="1:17" x14ac:dyDescent="0.25">
      <c r="A237" s="4"/>
      <c r="B237" s="5"/>
      <c r="C237" s="58" t="s">
        <v>113</v>
      </c>
      <c r="D237" s="63">
        <f>$D$1-D236</f>
        <v>0.38800000000003365</v>
      </c>
      <c r="E237" s="60">
        <f>$E$1-E236</f>
        <v>-0.56200000000012551</v>
      </c>
      <c r="F237" s="60">
        <f>$F$1-F236</f>
        <v>-0.22299999999999898</v>
      </c>
      <c r="G237" s="59">
        <f>$G$1-G236</f>
        <v>-7.2000000000002728E-2</v>
      </c>
      <c r="H237" s="60">
        <f>$H$1-H236</f>
        <v>-4.6000000000000013E-2</v>
      </c>
      <c r="I237" s="60">
        <f>$I$1-I236</f>
        <v>2.4999999999999994E-2</v>
      </c>
      <c r="J237" s="26"/>
      <c r="K237" s="5">
        <f>$K$1-K236</f>
        <v>-0.82999999999998408</v>
      </c>
      <c r="L237" s="5">
        <f>$L$1-L236</f>
        <v>9.0000000000000024E-2</v>
      </c>
      <c r="M237" s="5">
        <f>$M$1-M236</f>
        <v>-0.20399999999999352</v>
      </c>
      <c r="N237" s="4">
        <f>$N$1-N236</f>
        <v>0.15</v>
      </c>
      <c r="O237" s="5">
        <f>$O$1-O236</f>
        <v>90.01</v>
      </c>
      <c r="P237" s="5">
        <f>$P$1-P236</f>
        <v>0.2</v>
      </c>
      <c r="Q237" s="6"/>
    </row>
    <row r="238" spans="1:17" ht="15.75" thickBot="1" x14ac:dyDescent="0.3">
      <c r="A238" s="4"/>
      <c r="B238" s="5"/>
      <c r="C238" s="5"/>
      <c r="D238" s="37">
        <f>SQRT(D237^2+E237^2+F237^2)</f>
        <v>0.71841283396120281</v>
      </c>
      <c r="E238" s="5"/>
      <c r="F238" s="5"/>
      <c r="G238" s="131">
        <f>G237*PI()/180*1000</f>
        <v>-1.256637061435965</v>
      </c>
      <c r="H238" s="132">
        <f>H237*PI()/180*1000</f>
        <v>-0.80285145591739182</v>
      </c>
      <c r="I238" s="132">
        <f>I237*PI()/180*1000</f>
        <v>0.43633231299858227</v>
      </c>
      <c r="J238" s="130">
        <f>SQRT(G238^2+H238^2+I238^2)</f>
        <v>1.5537351935930992</v>
      </c>
      <c r="K238" s="37">
        <f>SQRT(K237^2+L237^2+M237^2)</f>
        <v>0.85942771656490746</v>
      </c>
      <c r="L238" s="5"/>
      <c r="M238" s="5"/>
      <c r="N238" s="4"/>
      <c r="O238" s="5"/>
      <c r="P238" s="5"/>
      <c r="Q238" s="6"/>
    </row>
    <row r="239" spans="1:17" x14ac:dyDescent="0.25">
      <c r="A239" s="1">
        <f>A233</f>
        <v>43298</v>
      </c>
      <c r="B239" s="2"/>
      <c r="C239" s="2" t="s">
        <v>114</v>
      </c>
      <c r="D239" s="62">
        <v>990.17</v>
      </c>
      <c r="E239" s="61">
        <v>1698.47</v>
      </c>
      <c r="F239" s="61">
        <v>41.61</v>
      </c>
      <c r="G239" s="95">
        <v>-134.88300000000001</v>
      </c>
      <c r="H239" s="96">
        <v>0.20100000000000001</v>
      </c>
      <c r="I239" s="96">
        <v>8.3000000000000004E-2</v>
      </c>
      <c r="J239" s="24">
        <v>0.11</v>
      </c>
      <c r="K239" s="45">
        <v>245.99</v>
      </c>
      <c r="L239" s="45">
        <v>0.13</v>
      </c>
      <c r="M239" s="45">
        <v>92.05</v>
      </c>
      <c r="N239" s="46">
        <v>0</v>
      </c>
      <c r="O239" s="45">
        <v>0</v>
      </c>
      <c r="P239" s="45">
        <v>0</v>
      </c>
      <c r="Q239" s="47">
        <v>0.03</v>
      </c>
    </row>
    <row r="240" spans="1:17" x14ac:dyDescent="0.25">
      <c r="A240" s="4"/>
      <c r="B240" s="5"/>
      <c r="C240" s="58" t="s">
        <v>113</v>
      </c>
      <c r="D240" s="63">
        <f>$D$1-D239</f>
        <v>0.24800000000004729</v>
      </c>
      <c r="E240" s="60">
        <f>$E$1-E239</f>
        <v>-0.82200000000011642</v>
      </c>
      <c r="F240" s="60">
        <f>$F$1-F239</f>
        <v>-1.1730000000000018</v>
      </c>
      <c r="G240" s="59">
        <f>$G$1-G239</f>
        <v>-7.5999999999993406E-2</v>
      </c>
      <c r="H240" s="60">
        <f>$H$1-H239</f>
        <v>-7.8000000000000014E-2</v>
      </c>
      <c r="I240" s="60">
        <f>$I$1-I239</f>
        <v>2.4999999999999994E-2</v>
      </c>
      <c r="J240" s="26"/>
      <c r="K240" s="5">
        <f>$K$1-K239</f>
        <v>-0.62000000000000455</v>
      </c>
      <c r="L240" s="5">
        <f>$L$1-L239</f>
        <v>0.15000000000000002</v>
      </c>
      <c r="M240" s="5">
        <f>$M$1-M239</f>
        <v>0.34600000000000364</v>
      </c>
      <c r="N240" s="4">
        <f>$N$1-N239</f>
        <v>0.15</v>
      </c>
      <c r="O240" s="5">
        <f>$O$1-O239</f>
        <v>90.01</v>
      </c>
      <c r="P240" s="5">
        <f>$P$1-P239</f>
        <v>0.2</v>
      </c>
      <c r="Q240" s="6"/>
    </row>
    <row r="241" spans="1:17" ht="15.75" thickBot="1" x14ac:dyDescent="0.3">
      <c r="A241" s="4"/>
      <c r="B241" s="5"/>
      <c r="C241" s="5"/>
      <c r="D241" s="37">
        <f>SQRT(D240^2+E240^2+F240^2)</f>
        <v>1.453656424331492</v>
      </c>
      <c r="E241" s="5"/>
      <c r="F241" s="5"/>
      <c r="G241" s="131">
        <f>G240*PI()/180*1000</f>
        <v>-1.3264502315155755</v>
      </c>
      <c r="H241" s="132">
        <f>H240*PI()/180*1000</f>
        <v>-1.3613568165555772</v>
      </c>
      <c r="I241" s="132">
        <f>I240*PI()/180*1000</f>
        <v>0.43633231299858227</v>
      </c>
      <c r="J241" s="130">
        <f>SQRT(G241^2+H241^2+I241^2)</f>
        <v>1.9501662713821999</v>
      </c>
      <c r="K241" s="37">
        <f>SQRT(K240^2+L240^2+M240^2)</f>
        <v>0.72568312644018962</v>
      </c>
      <c r="L241" s="5"/>
      <c r="M241" s="5"/>
      <c r="N241" s="4"/>
      <c r="O241" s="5"/>
      <c r="P241" s="5"/>
      <c r="Q241" s="6"/>
    </row>
    <row r="242" spans="1:17" x14ac:dyDescent="0.25">
      <c r="A242" s="1">
        <f>A236</f>
        <v>43298</v>
      </c>
      <c r="B242" s="2"/>
      <c r="C242" s="2" t="s">
        <v>116</v>
      </c>
      <c r="D242" s="62">
        <v>989.94</v>
      </c>
      <c r="E242" s="61">
        <v>1698.06</v>
      </c>
      <c r="F242" s="61">
        <v>40.82</v>
      </c>
      <c r="G242" s="95">
        <v>-134.887</v>
      </c>
      <c r="H242" s="96">
        <v>0.16600000000000001</v>
      </c>
      <c r="I242" s="96">
        <v>8.5999999999999993E-2</v>
      </c>
      <c r="J242" s="24">
        <v>0.09</v>
      </c>
      <c r="K242" s="45">
        <v>246.06</v>
      </c>
      <c r="L242" s="45">
        <v>0.11</v>
      </c>
      <c r="M242" s="45">
        <v>92.46</v>
      </c>
      <c r="N242" s="46">
        <v>0</v>
      </c>
      <c r="O242" s="45">
        <v>0</v>
      </c>
      <c r="P242" s="45">
        <v>0</v>
      </c>
      <c r="Q242" s="47">
        <v>0.03</v>
      </c>
    </row>
    <row r="243" spans="1:17" x14ac:dyDescent="0.25">
      <c r="A243" s="4"/>
      <c r="B243" s="5"/>
      <c r="C243" s="58" t="s">
        <v>113</v>
      </c>
      <c r="D243" s="63">
        <f>$D$1-D242</f>
        <v>0.4779999999999518</v>
      </c>
      <c r="E243" s="60">
        <f>$E$1-E242</f>
        <v>-0.41200000000003456</v>
      </c>
      <c r="F243" s="60">
        <f>$F$1-F242</f>
        <v>-0.38300000000000267</v>
      </c>
      <c r="G243" s="59">
        <f>$G$1-G242</f>
        <v>-7.2000000000002728E-2</v>
      </c>
      <c r="H243" s="60">
        <f>$H$1-H242</f>
        <v>-4.300000000000001E-2</v>
      </c>
      <c r="I243" s="60">
        <f>$I$1-I242</f>
        <v>2.2000000000000006E-2</v>
      </c>
      <c r="J243" s="26"/>
      <c r="K243" s="5">
        <f>$K$1-K242</f>
        <v>-0.68999999999999773</v>
      </c>
      <c r="L243" s="5">
        <f>$L$1-L242</f>
        <v>0.17000000000000004</v>
      </c>
      <c r="M243" s="5">
        <f>$M$1-M242</f>
        <v>-6.3999999999992951E-2</v>
      </c>
      <c r="N243" s="4">
        <f>$N$1-N242</f>
        <v>0.15</v>
      </c>
      <c r="O243" s="5">
        <f>$O$1-O242</f>
        <v>90.01</v>
      </c>
      <c r="P243" s="5">
        <f>$P$1-P242</f>
        <v>0.2</v>
      </c>
      <c r="Q243" s="6"/>
    </row>
    <row r="244" spans="1:17" ht="15.75" thickBot="1" x14ac:dyDescent="0.3">
      <c r="A244" s="4"/>
      <c r="B244" s="5"/>
      <c r="C244" s="5"/>
      <c r="D244" s="37">
        <f>SQRT(D243^2+E243^2+F243^2)</f>
        <v>0.73818493617790959</v>
      </c>
      <c r="E244" s="5"/>
      <c r="F244" s="5"/>
      <c r="G244" s="131">
        <f>G243*PI()/180*1000</f>
        <v>-1.256637061435965</v>
      </c>
      <c r="H244" s="132">
        <f>H243*PI()/180*1000</f>
        <v>-0.75049157835756186</v>
      </c>
      <c r="I244" s="132">
        <f>I243*PI()/180*1000</f>
        <v>0.38397243543875259</v>
      </c>
      <c r="J244" s="130">
        <f>SQRT(G244^2+H244^2+I244^2)</f>
        <v>1.5132115333081522</v>
      </c>
      <c r="K244" s="37">
        <f>SQRT(K243^2+L243^2+M243^2)</f>
        <v>0.71350963553409419</v>
      </c>
      <c r="L244" s="5"/>
      <c r="M244" s="5"/>
      <c r="N244" s="4"/>
      <c r="O244" s="5"/>
      <c r="P244" s="5"/>
      <c r="Q244" s="6"/>
    </row>
    <row r="245" spans="1:17" x14ac:dyDescent="0.25">
      <c r="A245" s="1">
        <f>A239</f>
        <v>43298</v>
      </c>
      <c r="B245" s="2"/>
      <c r="C245" s="2" t="s">
        <v>115</v>
      </c>
      <c r="D245" s="62">
        <v>990.21</v>
      </c>
      <c r="E245" s="61">
        <v>1698.41</v>
      </c>
      <c r="F245" s="61">
        <v>41.96</v>
      </c>
      <c r="G245" s="95">
        <v>-134.88200000000001</v>
      </c>
      <c r="H245" s="96">
        <v>0.20300000000000001</v>
      </c>
      <c r="I245" s="96">
        <v>0.09</v>
      </c>
      <c r="J245" s="24">
        <v>7.0000000000000007E-2</v>
      </c>
      <c r="K245" s="45">
        <v>246.09</v>
      </c>
      <c r="L245" s="45">
        <v>0.18</v>
      </c>
      <c r="M245" s="45">
        <v>91.92</v>
      </c>
      <c r="N245" s="46">
        <v>0</v>
      </c>
      <c r="O245" s="45">
        <v>0</v>
      </c>
      <c r="P245" s="45">
        <v>0</v>
      </c>
      <c r="Q245" s="47">
        <v>0.02</v>
      </c>
    </row>
    <row r="246" spans="1:17" x14ac:dyDescent="0.25">
      <c r="A246" s="4"/>
      <c r="B246" s="5"/>
      <c r="C246" s="58" t="s">
        <v>113</v>
      </c>
      <c r="D246" s="63">
        <f>$D$1-D245</f>
        <v>0.20799999999996999</v>
      </c>
      <c r="E246" s="60">
        <f>$E$1-E245</f>
        <v>-0.76200000000017099</v>
      </c>
      <c r="F246" s="60">
        <f>$F$1-F245</f>
        <v>-1.5230000000000032</v>
      </c>
      <c r="G246" s="59">
        <f>$G$1-G245</f>
        <v>-7.6999999999998181E-2</v>
      </c>
      <c r="H246" s="60">
        <f>$H$1-H245</f>
        <v>-8.0000000000000016E-2</v>
      </c>
      <c r="I246" s="60">
        <f>$I$1-I245</f>
        <v>1.8000000000000002E-2</v>
      </c>
      <c r="J246" s="26"/>
      <c r="K246" s="5">
        <f>$K$1-K245</f>
        <v>-0.71999999999999886</v>
      </c>
      <c r="L246" s="5">
        <f>$L$1-L245</f>
        <v>0.10000000000000003</v>
      </c>
      <c r="M246" s="5">
        <f>$M$1-M245</f>
        <v>0.47599999999999909</v>
      </c>
      <c r="N246" s="4">
        <f>$N$1-N245</f>
        <v>0.15</v>
      </c>
      <c r="O246" s="5">
        <f>$O$1-O245</f>
        <v>90.01</v>
      </c>
      <c r="P246" s="5">
        <f>$P$1-P245</f>
        <v>0.2</v>
      </c>
      <c r="Q246" s="6"/>
    </row>
    <row r="247" spans="1:17" ht="15.75" thickBot="1" x14ac:dyDescent="0.3">
      <c r="A247" s="4"/>
      <c r="B247" s="5"/>
      <c r="C247" s="5"/>
      <c r="D247" s="37">
        <f>SQRT(D246^2+E246^2+F246^2)</f>
        <v>1.7156447767531184</v>
      </c>
      <c r="E247" s="5"/>
      <c r="F247" s="5"/>
      <c r="G247" s="131">
        <f>G246*PI()/180*1000</f>
        <v>-1.3439035240356021</v>
      </c>
      <c r="H247" s="132">
        <f>H246*PI()/180*1000</f>
        <v>-1.3962634015954638</v>
      </c>
      <c r="I247" s="132">
        <f>I246*PI()/180*1000</f>
        <v>0.31415926535897937</v>
      </c>
      <c r="J247" s="130">
        <f>SQRT(G247^2+H247^2+I247^2)</f>
        <v>1.9632432891929463</v>
      </c>
      <c r="K247" s="37">
        <f>SQRT(K246^2+L246^2+M246^2)</f>
        <v>0.86889354929127971</v>
      </c>
      <c r="L247" s="5"/>
      <c r="M247" s="5"/>
      <c r="N247" s="4"/>
      <c r="O247" s="5"/>
      <c r="P247" s="5"/>
      <c r="Q247" s="6"/>
    </row>
    <row r="248" spans="1:17" x14ac:dyDescent="0.25">
      <c r="A248" s="1">
        <f>A242</f>
        <v>43298</v>
      </c>
      <c r="B248" s="2"/>
      <c r="C248" s="2" t="s">
        <v>117</v>
      </c>
      <c r="D248" s="62">
        <v>989.98</v>
      </c>
      <c r="E248" s="61">
        <v>1698.31</v>
      </c>
      <c r="F248" s="61">
        <v>40.86</v>
      </c>
      <c r="G248" s="95">
        <v>-134.88999999999999</v>
      </c>
      <c r="H248" s="96">
        <v>0.17199999999999999</v>
      </c>
      <c r="I248" s="96">
        <v>7.6999999999999999E-2</v>
      </c>
      <c r="J248" s="24">
        <v>0.06</v>
      </c>
      <c r="K248" s="45">
        <v>246.11</v>
      </c>
      <c r="L248" s="45">
        <v>0.01</v>
      </c>
      <c r="M248" s="45">
        <v>92.68</v>
      </c>
      <c r="N248" s="46">
        <v>0</v>
      </c>
      <c r="O248" s="45">
        <v>0</v>
      </c>
      <c r="P248" s="45">
        <v>0</v>
      </c>
      <c r="Q248" s="47">
        <v>0.02</v>
      </c>
    </row>
    <row r="249" spans="1:17" x14ac:dyDescent="0.25">
      <c r="A249" s="4"/>
      <c r="B249" s="5"/>
      <c r="C249" s="58" t="s">
        <v>113</v>
      </c>
      <c r="D249" s="63">
        <f>$D$1-D248</f>
        <v>0.43799999999998818</v>
      </c>
      <c r="E249" s="60">
        <f>$E$1-E248</f>
        <v>-0.66200000000003456</v>
      </c>
      <c r="F249" s="60">
        <f>$F$1-F248</f>
        <v>-0.42300000000000182</v>
      </c>
      <c r="G249" s="59">
        <f>$G$1-G248</f>
        <v>-6.9000000000016826E-2</v>
      </c>
      <c r="H249" s="60">
        <f>$H$1-H248</f>
        <v>-4.8999999999999988E-2</v>
      </c>
      <c r="I249" s="60">
        <f>$I$1-I248</f>
        <v>3.1E-2</v>
      </c>
      <c r="J249" s="26"/>
      <c r="K249" s="5">
        <f>$K$1-K248</f>
        <v>-0.74000000000000909</v>
      </c>
      <c r="L249" s="5">
        <f>$L$1-L248</f>
        <v>0.27</v>
      </c>
      <c r="M249" s="5">
        <f>$M$1-M248</f>
        <v>-0.28400000000000603</v>
      </c>
      <c r="N249" s="4">
        <f>$N$1-N248</f>
        <v>0.15</v>
      </c>
      <c r="O249" s="5">
        <f>$O$1-O248</f>
        <v>90.01</v>
      </c>
      <c r="P249" s="5">
        <f>$P$1-P248</f>
        <v>0.2</v>
      </c>
      <c r="Q249" s="6"/>
    </row>
    <row r="250" spans="1:17" ht="15.75" thickBot="1" x14ac:dyDescent="0.3">
      <c r="A250" s="4"/>
      <c r="B250" s="5"/>
      <c r="C250" s="5"/>
      <c r="D250" s="37">
        <f>SQRT(D249^2+E249^2+F249^2)</f>
        <v>0.89945372310088134</v>
      </c>
      <c r="E250" s="5"/>
      <c r="F250" s="5"/>
      <c r="G250" s="131">
        <f>G249*PI()/180*1000</f>
        <v>-1.2042771838763811</v>
      </c>
      <c r="H250" s="132">
        <f>H249*PI()/180*1000</f>
        <v>-0.85521133347722134</v>
      </c>
      <c r="I250" s="132">
        <f>I249*PI()/180*1000</f>
        <v>0.54105206811824214</v>
      </c>
      <c r="J250" s="130">
        <f>SQRT(G250^2+H250^2+I250^2)</f>
        <v>1.5730248888457363</v>
      </c>
      <c r="K250" s="37">
        <f>SQRT(K249^2+L249^2+M249^2)</f>
        <v>0.837350583686437</v>
      </c>
      <c r="L250" s="5"/>
      <c r="M250" s="5"/>
      <c r="N250" s="4"/>
      <c r="O250" s="5"/>
      <c r="P250" s="5"/>
      <c r="Q250" s="6"/>
    </row>
    <row r="251" spans="1:17" x14ac:dyDescent="0.25">
      <c r="A251" s="1">
        <f>A245</f>
        <v>43298</v>
      </c>
      <c r="B251" s="2"/>
      <c r="C251" s="2" t="s">
        <v>118</v>
      </c>
      <c r="D251" s="62">
        <v>990.09</v>
      </c>
      <c r="E251" s="61">
        <v>1698.49</v>
      </c>
      <c r="F251" s="61">
        <v>42.12</v>
      </c>
      <c r="G251" s="95">
        <v>-134.88200000000001</v>
      </c>
      <c r="H251" s="96">
        <v>0.184</v>
      </c>
      <c r="I251" s="96">
        <v>8.4000000000000005E-2</v>
      </c>
      <c r="J251" s="24">
        <v>0.08</v>
      </c>
      <c r="K251" s="45">
        <v>245.94</v>
      </c>
      <c r="L251" s="45">
        <v>0.08</v>
      </c>
      <c r="M251" s="45">
        <v>92.12</v>
      </c>
      <c r="N251" s="46">
        <v>0</v>
      </c>
      <c r="O251" s="45">
        <v>0</v>
      </c>
      <c r="P251" s="45">
        <v>0</v>
      </c>
      <c r="Q251" s="47">
        <v>0.02</v>
      </c>
    </row>
    <row r="252" spans="1:17" x14ac:dyDescent="0.25">
      <c r="A252" s="4"/>
      <c r="B252" s="5"/>
      <c r="C252" s="58" t="s">
        <v>113</v>
      </c>
      <c r="D252" s="63">
        <f>$D$1-D251</f>
        <v>0.32799999999997453</v>
      </c>
      <c r="E252" s="60">
        <f>$E$1-E251</f>
        <v>-0.84200000000009823</v>
      </c>
      <c r="F252" s="60">
        <f>$F$1-F251</f>
        <v>-1.6829999999999998</v>
      </c>
      <c r="G252" s="59">
        <f>$G$1-G251</f>
        <v>-7.6999999999998181E-2</v>
      </c>
      <c r="H252" s="60">
        <f>$H$1-H251</f>
        <v>-6.0999999999999999E-2</v>
      </c>
      <c r="I252" s="60">
        <f>$I$1-I251</f>
        <v>2.3999999999999994E-2</v>
      </c>
      <c r="J252" s="26"/>
      <c r="K252" s="5">
        <f>$K$1-K251</f>
        <v>-0.56999999999999318</v>
      </c>
      <c r="L252" s="5">
        <f>$L$1-L251</f>
        <v>0.2</v>
      </c>
      <c r="M252" s="5">
        <f>$M$1-M251</f>
        <v>0.27599999999999625</v>
      </c>
      <c r="N252" s="4">
        <f>$N$1-N251</f>
        <v>0.15</v>
      </c>
      <c r="O252" s="5">
        <f>$O$1-O251</f>
        <v>90.01</v>
      </c>
      <c r="P252" s="5">
        <f>$P$1-P251</f>
        <v>0.2</v>
      </c>
      <c r="Q252" s="6"/>
    </row>
    <row r="253" spans="1:17" ht="15.75" thickBot="1" x14ac:dyDescent="0.3">
      <c r="A253" s="4"/>
      <c r="B253" s="5"/>
      <c r="C253" s="5"/>
      <c r="D253" s="37">
        <f>SQRT(D252^2+E252^2+F252^2)</f>
        <v>1.9102452722098668</v>
      </c>
      <c r="E253" s="5"/>
      <c r="F253" s="5"/>
      <c r="G253" s="131">
        <f>G252*PI()/180*1000</f>
        <v>-1.3439035240356021</v>
      </c>
      <c r="H253" s="132">
        <f>H252*PI()/180*1000</f>
        <v>-1.064650843716541</v>
      </c>
      <c r="I253" s="132">
        <f>I252*PI()/180*1000</f>
        <v>0.41887902047863895</v>
      </c>
      <c r="J253" s="130">
        <f>SQRT(G253^2+H253^2+I253^2)</f>
        <v>1.7649412836518945</v>
      </c>
      <c r="K253" s="37">
        <f>SQRT(K252^2+L252^2+M252^2)</f>
        <v>0.66413552833739453</v>
      </c>
      <c r="L253" s="5"/>
      <c r="M253" s="5"/>
      <c r="N253" s="4"/>
      <c r="O253" s="5"/>
      <c r="P253" s="5"/>
      <c r="Q253" s="6"/>
    </row>
    <row r="254" spans="1:17" x14ac:dyDescent="0.25">
      <c r="A254" s="1">
        <f>A248</f>
        <v>43298</v>
      </c>
      <c r="B254" s="2"/>
      <c r="C254" s="2" t="s">
        <v>119</v>
      </c>
      <c r="D254" s="62">
        <v>990.28</v>
      </c>
      <c r="E254" s="61">
        <v>1698.17</v>
      </c>
      <c r="F254" s="61">
        <v>40.590000000000003</v>
      </c>
      <c r="G254" s="95">
        <v>-134.89500000000001</v>
      </c>
      <c r="H254" s="96">
        <v>0.16900000000000001</v>
      </c>
      <c r="I254" s="96">
        <v>8.5000000000000006E-2</v>
      </c>
      <c r="J254" s="24">
        <v>7.0000000000000007E-2</v>
      </c>
      <c r="K254" s="45">
        <v>246.24</v>
      </c>
      <c r="L254" s="45">
        <v>0.2</v>
      </c>
      <c r="M254" s="45">
        <v>92.79</v>
      </c>
      <c r="N254" s="46">
        <v>0</v>
      </c>
      <c r="O254" s="45">
        <v>0</v>
      </c>
      <c r="P254" s="45">
        <v>0</v>
      </c>
      <c r="Q254" s="47">
        <v>0.02</v>
      </c>
    </row>
    <row r="255" spans="1:17" x14ac:dyDescent="0.25">
      <c r="A255" s="4"/>
      <c r="B255" s="5"/>
      <c r="C255" s="58" t="s">
        <v>113</v>
      </c>
      <c r="D255" s="63">
        <f>$D$1-D254</f>
        <v>0.13800000000003365</v>
      </c>
      <c r="E255" s="60">
        <f>$E$1-E254</f>
        <v>-0.52200000000016189</v>
      </c>
      <c r="F255" s="60">
        <f>$F$1-F254</f>
        <v>-0.1530000000000058</v>
      </c>
      <c r="G255" s="59">
        <f>$G$1-G254</f>
        <v>-6.3999999999992951E-2</v>
      </c>
      <c r="H255" s="60">
        <f>$H$1-H254</f>
        <v>-4.6000000000000013E-2</v>
      </c>
      <c r="I255" s="60">
        <f>$I$1-I254</f>
        <v>2.2999999999999993E-2</v>
      </c>
      <c r="J255" s="26"/>
      <c r="K255" s="5">
        <f>$K$1-K254</f>
        <v>-0.87000000000000455</v>
      </c>
      <c r="L255" s="5">
        <f>$L$1-L254</f>
        <v>8.0000000000000016E-2</v>
      </c>
      <c r="M255" s="5">
        <f>$M$1-M254</f>
        <v>-0.39400000000000546</v>
      </c>
      <c r="N255" s="4">
        <f>$N$1-N254</f>
        <v>0.15</v>
      </c>
      <c r="O255" s="5">
        <f>$O$1-O254</f>
        <v>90.01</v>
      </c>
      <c r="P255" s="5">
        <f>$P$1-P254</f>
        <v>0.2</v>
      </c>
      <c r="Q255" s="6"/>
    </row>
    <row r="256" spans="1:17" ht="15.75" thickBot="1" x14ac:dyDescent="0.3">
      <c r="A256" s="4"/>
      <c r="B256" s="5"/>
      <c r="C256" s="5"/>
      <c r="D256" s="37">
        <f>SQRT(D255^2+E255^2+F255^2)</f>
        <v>0.56119248034892633</v>
      </c>
      <c r="E256" s="5"/>
      <c r="F256" s="5"/>
      <c r="G256" s="131">
        <f>G255*PI()/180*1000</f>
        <v>-1.1170107212762479</v>
      </c>
      <c r="H256" s="132">
        <f>H255*PI()/180*1000</f>
        <v>-0.80285145591739182</v>
      </c>
      <c r="I256" s="132">
        <f>I255*PI()/180*1000</f>
        <v>0.40142572795869569</v>
      </c>
      <c r="J256" s="130">
        <f>SQRT(G256^2+H256^2+I256^2)</f>
        <v>1.4329780273200032</v>
      </c>
      <c r="K256" s="37">
        <f>SQRT(K255^2+L255^2+M255^2)</f>
        <v>0.95840283805924331</v>
      </c>
      <c r="L256" s="5"/>
      <c r="M256" s="5"/>
      <c r="N256" s="4"/>
      <c r="O256" s="5"/>
      <c r="P256" s="5"/>
      <c r="Q256" s="6"/>
    </row>
    <row r="257" spans="1:17" x14ac:dyDescent="0.25">
      <c r="A257" s="1">
        <f>A251</f>
        <v>43298</v>
      </c>
      <c r="B257" s="2"/>
      <c r="C257" s="2" t="s">
        <v>120</v>
      </c>
      <c r="D257" s="62">
        <v>989.84</v>
      </c>
      <c r="E257" s="61">
        <v>1698.13</v>
      </c>
      <c r="F257" s="61">
        <v>40.68</v>
      </c>
      <c r="G257" s="95">
        <v>-134.88399999999999</v>
      </c>
      <c r="H257" s="96">
        <v>0.16400000000000001</v>
      </c>
      <c r="I257" s="96">
        <v>8.5000000000000006E-2</v>
      </c>
      <c r="J257" s="24">
        <v>0.08</v>
      </c>
      <c r="K257" s="45">
        <v>246.05</v>
      </c>
      <c r="L257" s="45">
        <v>0.37</v>
      </c>
      <c r="M257" s="45">
        <v>92.6</v>
      </c>
      <c r="N257" s="46">
        <v>0</v>
      </c>
      <c r="O257" s="45">
        <v>0</v>
      </c>
      <c r="P257" s="45">
        <v>0</v>
      </c>
      <c r="Q257" s="47">
        <v>0.02</v>
      </c>
    </row>
    <row r="258" spans="1:17" x14ac:dyDescent="0.25">
      <c r="A258" s="4"/>
      <c r="B258" s="5"/>
      <c r="C258" s="58" t="s">
        <v>113</v>
      </c>
      <c r="D258" s="63">
        <f>$D$1-D257</f>
        <v>0.57799999999997453</v>
      </c>
      <c r="E258" s="60">
        <f>$E$1-E257</f>
        <v>-0.48200000000019827</v>
      </c>
      <c r="F258" s="60">
        <f>$F$1-F257</f>
        <v>-0.2430000000000021</v>
      </c>
      <c r="G258" s="59">
        <f>$G$1-G257</f>
        <v>-7.5000000000017053E-2</v>
      </c>
      <c r="H258" s="60">
        <f>$H$1-H257</f>
        <v>-4.1000000000000009E-2</v>
      </c>
      <c r="I258" s="60">
        <f>$I$1-I257</f>
        <v>2.2999999999999993E-2</v>
      </c>
      <c r="J258" s="26"/>
      <c r="K258" s="5">
        <f>$K$1-K257</f>
        <v>-0.68000000000000682</v>
      </c>
      <c r="L258" s="5">
        <f>$L$1-L257</f>
        <v>-8.9999999999999969E-2</v>
      </c>
      <c r="M258" s="5">
        <f>$M$1-M257</f>
        <v>-0.20399999999999352</v>
      </c>
      <c r="N258" s="4">
        <f>$N$1-N257</f>
        <v>0.15</v>
      </c>
      <c r="O258" s="5">
        <f>$O$1-O257</f>
        <v>90.01</v>
      </c>
      <c r="P258" s="5">
        <f>$P$1-P257</f>
        <v>0.2</v>
      </c>
      <c r="Q258" s="6"/>
    </row>
    <row r="259" spans="1:17" ht="15.75" thickBot="1" x14ac:dyDescent="0.3">
      <c r="A259" s="4"/>
      <c r="B259" s="5"/>
      <c r="C259" s="5"/>
      <c r="D259" s="37">
        <f>SQRT(D258^2+E258^2+F258^2)</f>
        <v>0.79085839440456263</v>
      </c>
      <c r="E259" s="5"/>
      <c r="F259" s="5"/>
      <c r="G259" s="131">
        <f>G258*PI()/180*1000</f>
        <v>-1.3089969389960447</v>
      </c>
      <c r="H259" s="132">
        <f>H258*PI()/180*1000</f>
        <v>-0.71558499331767533</v>
      </c>
      <c r="I259" s="132">
        <f>I258*PI()/180*1000</f>
        <v>0.40142572795869569</v>
      </c>
      <c r="J259" s="130">
        <f>SQRT(G259^2+H259^2+I259^2)</f>
        <v>1.5448875311910706</v>
      </c>
      <c r="K259" s="37">
        <f>SQRT(K258^2+L258^2+M258^2)</f>
        <v>0.71562280567349634</v>
      </c>
      <c r="L259" s="5"/>
      <c r="M259" s="5"/>
      <c r="N259" s="4"/>
      <c r="O259" s="5"/>
      <c r="P259" s="5"/>
      <c r="Q259" s="6"/>
    </row>
    <row r="260" spans="1:17" x14ac:dyDescent="0.25">
      <c r="A260" s="1">
        <f>A254</f>
        <v>43298</v>
      </c>
      <c r="B260" s="2"/>
      <c r="C260" s="2" t="s">
        <v>121</v>
      </c>
      <c r="D260" s="62">
        <v>989.82</v>
      </c>
      <c r="E260" s="61">
        <v>1698.27</v>
      </c>
      <c r="F260" s="61">
        <v>40.89</v>
      </c>
      <c r="G260" s="95">
        <v>-134.881</v>
      </c>
      <c r="H260" s="96">
        <v>0.17299999999999999</v>
      </c>
      <c r="I260" s="96">
        <v>8.4000000000000005E-2</v>
      </c>
      <c r="J260" s="24">
        <v>0.08</v>
      </c>
      <c r="K260" s="45">
        <v>245.98</v>
      </c>
      <c r="L260" s="45">
        <v>0.43</v>
      </c>
      <c r="M260" s="45">
        <v>92.64</v>
      </c>
      <c r="N260" s="46">
        <v>0</v>
      </c>
      <c r="O260" s="45">
        <v>0</v>
      </c>
      <c r="P260" s="45">
        <v>0</v>
      </c>
      <c r="Q260" s="47">
        <v>0.02</v>
      </c>
    </row>
    <row r="261" spans="1:17" x14ac:dyDescent="0.25">
      <c r="A261" s="4"/>
      <c r="B261" s="5"/>
      <c r="C261" s="58" t="s">
        <v>113</v>
      </c>
      <c r="D261" s="63">
        <f>$D$1-D260</f>
        <v>0.59799999999995634</v>
      </c>
      <c r="E261" s="60">
        <f>$E$1-E260</f>
        <v>-0.62200000000007094</v>
      </c>
      <c r="F261" s="60">
        <f>$F$1-F260</f>
        <v>-0.45300000000000296</v>
      </c>
      <c r="G261" s="59">
        <f>$G$1-G260</f>
        <v>-7.8000000000002956E-2</v>
      </c>
      <c r="H261" s="60">
        <f>$H$1-H260</f>
        <v>-4.9999999999999989E-2</v>
      </c>
      <c r="I261" s="60">
        <f>$I$1-I260</f>
        <v>2.3999999999999994E-2</v>
      </c>
      <c r="J261" s="26"/>
      <c r="K261" s="5">
        <f>$K$1-K260</f>
        <v>-0.60999999999998522</v>
      </c>
      <c r="L261" s="5">
        <f>$L$1-L260</f>
        <v>-0.14999999999999997</v>
      </c>
      <c r="M261" s="5">
        <f>$M$1-M260</f>
        <v>-0.24399999999999977</v>
      </c>
      <c r="N261" s="4">
        <f>$N$1-N260</f>
        <v>0.15</v>
      </c>
      <c r="O261" s="5">
        <f>$O$1-O260</f>
        <v>90.01</v>
      </c>
      <c r="P261" s="5">
        <f>$P$1-P260</f>
        <v>0.2</v>
      </c>
      <c r="Q261" s="6"/>
    </row>
    <row r="262" spans="1:17" x14ac:dyDescent="0.25">
      <c r="A262" s="4"/>
      <c r="B262" s="5"/>
      <c r="C262" s="5"/>
      <c r="D262" s="37">
        <f>SQRT(D261^2+E261^2+F261^2)</f>
        <v>0.97452398636464488</v>
      </c>
      <c r="E262" s="5"/>
      <c r="F262" s="5"/>
      <c r="G262" s="131">
        <f>G261*PI()/180*1000</f>
        <v>-1.3613568165556287</v>
      </c>
      <c r="H262" s="132">
        <f>H261*PI()/180*1000</f>
        <v>-0.87266462599716454</v>
      </c>
      <c r="I262" s="132">
        <f>I261*PI()/180*1000</f>
        <v>0.41887902047863895</v>
      </c>
      <c r="J262" s="130">
        <f>SQRT(G262^2+H262^2+I262^2)</f>
        <v>1.6704177816481693</v>
      </c>
      <c r="K262" s="37">
        <f>SQRT(K261^2+L261^2+M261^2)</f>
        <v>0.67389613443021157</v>
      </c>
      <c r="L262" s="5"/>
      <c r="M262" s="5"/>
      <c r="N262" s="4"/>
      <c r="O262" s="5"/>
      <c r="P262" s="5"/>
      <c r="Q262" s="6"/>
    </row>
    <row r="264" spans="1:17" ht="15.75" thickBot="1" x14ac:dyDescent="0.3">
      <c r="A264" s="43" t="s">
        <v>44</v>
      </c>
      <c r="C264" t="s">
        <v>122</v>
      </c>
    </row>
    <row r="265" spans="1:17" x14ac:dyDescent="0.25">
      <c r="A265" s="1">
        <v>43299</v>
      </c>
      <c r="B265" s="2"/>
      <c r="C265" s="2" t="s">
        <v>123</v>
      </c>
      <c r="D265" s="62">
        <v>990.24</v>
      </c>
      <c r="E265" s="61">
        <v>1697.9</v>
      </c>
      <c r="F265" s="61">
        <f>-459.39+500</f>
        <v>40.610000000000014</v>
      </c>
      <c r="G265" s="77">
        <f>I274</f>
        <v>-134.895251</v>
      </c>
      <c r="H265" s="78">
        <f>H274</f>
        <v>0.12092900000000001</v>
      </c>
      <c r="I265" s="78">
        <f>G274</f>
        <v>0.15294099999999999</v>
      </c>
      <c r="J265" s="24"/>
      <c r="K265" s="45" t="s">
        <v>106</v>
      </c>
      <c r="L265" s="45"/>
      <c r="M265" s="45"/>
      <c r="N265" s="46"/>
      <c r="O265" s="45"/>
      <c r="P265" s="45"/>
      <c r="Q265" s="47"/>
    </row>
    <row r="266" spans="1:17" x14ac:dyDescent="0.25">
      <c r="A266" s="4"/>
      <c r="B266" s="5"/>
      <c r="C266" s="5" t="s">
        <v>393</v>
      </c>
      <c r="D266" s="63">
        <f>$D$1-D265</f>
        <v>0.17799999999999727</v>
      </c>
      <c r="E266" s="60">
        <f>$E$1-E265</f>
        <v>-0.25200000000018008</v>
      </c>
      <c r="F266" s="60">
        <f>$F$1-F265</f>
        <v>-0.17300000000001603</v>
      </c>
      <c r="G266" s="59">
        <f>$G$1-G265</f>
        <v>-6.3749000000001388E-2</v>
      </c>
      <c r="H266" s="60">
        <f>$H$1-H265</f>
        <v>2.0709999999999895E-3</v>
      </c>
      <c r="I266" s="60">
        <f>$I$1-I265</f>
        <v>-4.4940999999999995E-2</v>
      </c>
      <c r="J266" s="26"/>
      <c r="K266" s="5" t="e">
        <f>$K$1-K265</f>
        <v>#VALUE!</v>
      </c>
      <c r="L266" s="5">
        <f>$L$1-L265</f>
        <v>0.28000000000000003</v>
      </c>
      <c r="M266" s="5">
        <f>$M$1-M265</f>
        <v>92.396000000000001</v>
      </c>
      <c r="N266" s="4">
        <f>$N$1-N265</f>
        <v>0.15</v>
      </c>
      <c r="O266" s="5">
        <f>$O$1-O265</f>
        <v>90.01</v>
      </c>
      <c r="P266" s="5">
        <f>$P$1-P265</f>
        <v>0.2</v>
      </c>
      <c r="Q266" s="6"/>
    </row>
    <row r="267" spans="1:17" ht="15.75" thickBot="1" x14ac:dyDescent="0.3">
      <c r="A267" s="4"/>
      <c r="B267" s="5"/>
      <c r="C267" s="58" t="s">
        <v>126</v>
      </c>
      <c r="D267" s="37">
        <f>SQRT(D266^2+E266^2+F266^2)</f>
        <v>0.35371881487997681</v>
      </c>
      <c r="E267" s="5"/>
      <c r="F267" s="5"/>
      <c r="G267" s="131">
        <f>G266*PI()/180*1000</f>
        <v>-1.1126299448538892</v>
      </c>
      <c r="H267" s="132">
        <f>H266*PI()/180*1000</f>
        <v>3.6145768808802381E-2</v>
      </c>
      <c r="I267" s="132">
        <f>I266*PI()/180*1000</f>
        <v>-0.78436841913877142</v>
      </c>
      <c r="J267" s="130">
        <f>SQRT(G267^2+H267^2+I267^2)</f>
        <v>1.3617950388111286</v>
      </c>
      <c r="K267" s="37" t="e">
        <f>SQRT(K266^2+L266^2+M266^2)</f>
        <v>#VALUE!</v>
      </c>
      <c r="L267" s="5"/>
      <c r="M267" s="5"/>
      <c r="N267" s="4"/>
      <c r="O267" s="5"/>
      <c r="P267" s="5"/>
      <c r="Q267" s="6"/>
    </row>
    <row r="268" spans="1:17" x14ac:dyDescent="0.25">
      <c r="A268" s="1">
        <f>A265</f>
        <v>43299</v>
      </c>
      <c r="B268" s="2"/>
      <c r="C268" s="2" t="s">
        <v>123</v>
      </c>
      <c r="D268" s="21">
        <v>990.04</v>
      </c>
      <c r="E268" s="22">
        <v>1698.05</v>
      </c>
      <c r="F268" s="22">
        <f>-659.51+700</f>
        <v>40.490000000000009</v>
      </c>
      <c r="G268" s="87">
        <f>I279</f>
        <v>-134.896658</v>
      </c>
      <c r="H268" s="88">
        <f>H279</f>
        <v>0.12385400000000001</v>
      </c>
      <c r="I268" s="88">
        <f>G279</f>
        <v>0.13156799999999999</v>
      </c>
      <c r="J268" s="24"/>
      <c r="K268" s="45" t="s">
        <v>106</v>
      </c>
      <c r="L268" s="45"/>
      <c r="M268" s="45"/>
      <c r="N268" s="46"/>
      <c r="O268" s="45"/>
      <c r="P268" s="45"/>
      <c r="Q268" s="47"/>
    </row>
    <row r="269" spans="1:17" x14ac:dyDescent="0.25">
      <c r="A269" s="4"/>
      <c r="B269" s="5"/>
      <c r="C269" s="5" t="s">
        <v>391</v>
      </c>
      <c r="D269" s="25">
        <f>$D$1-D268</f>
        <v>0.37800000000004275</v>
      </c>
      <c r="E269" s="5">
        <f>$E$1-E268</f>
        <v>-0.40200000000004366</v>
      </c>
      <c r="F269" s="5">
        <f>$F$1-F268</f>
        <v>-5.3000000000011482E-2</v>
      </c>
      <c r="G269" s="59">
        <f>$G$1-G268</f>
        <v>-6.2342000000001008E-2</v>
      </c>
      <c r="H269" s="60">
        <f>$H$1-H268</f>
        <v>-8.5400000000000753E-4</v>
      </c>
      <c r="I269" s="60">
        <f>$I$1-I268</f>
        <v>-2.3567999999999992E-2</v>
      </c>
      <c r="J269" s="26"/>
      <c r="K269" s="5" t="e">
        <f>$K$1-K268</f>
        <v>#VALUE!</v>
      </c>
      <c r="L269" s="5">
        <f>$L$1-L268</f>
        <v>0.28000000000000003</v>
      </c>
      <c r="M269" s="5">
        <f>$M$1-M268</f>
        <v>92.396000000000001</v>
      </c>
      <c r="N269" s="4">
        <f>$N$1-N268</f>
        <v>0.15</v>
      </c>
      <c r="O269" s="5">
        <f>$O$1-O268</f>
        <v>90.01</v>
      </c>
      <c r="P269" s="5">
        <f>$P$1-P268</f>
        <v>0.2</v>
      </c>
      <c r="Q269" s="6"/>
    </row>
    <row r="270" spans="1:17" x14ac:dyDescent="0.25">
      <c r="B270" s="92"/>
      <c r="C270" s="58" t="s">
        <v>127</v>
      </c>
      <c r="D270" s="37">
        <f>SQRT(D269^2+E269^2+F269^2)</f>
        <v>0.55434375616585474</v>
      </c>
      <c r="E270" s="5"/>
      <c r="F270" s="5"/>
      <c r="G270" s="131">
        <f>G269*PI()/180*1000</f>
        <v>-1.0880731622783224</v>
      </c>
      <c r="H270" s="132">
        <f>H269*PI()/180*1000</f>
        <v>-1.4905111812031704E-2</v>
      </c>
      <c r="I270" s="132">
        <f>I269*PI()/180*1000</f>
        <v>-0.41133919811002345</v>
      </c>
      <c r="J270" s="130">
        <f>SQRT(G270^2+H270^2+I270^2)</f>
        <v>1.1633251070660664</v>
      </c>
      <c r="K270" s="37" t="e">
        <f>SQRT(K269^2+L269^2+M269^2)</f>
        <v>#VALUE!</v>
      </c>
      <c r="L270" s="5"/>
      <c r="M270" s="5"/>
      <c r="N270" s="4"/>
      <c r="O270" s="5"/>
      <c r="P270" s="5"/>
      <c r="Q270" s="6"/>
    </row>
    <row r="272" spans="1:17" x14ac:dyDescent="0.25">
      <c r="C272" s="20" t="s">
        <v>124</v>
      </c>
      <c r="F272" s="69" t="s">
        <v>95</v>
      </c>
      <c r="G272" s="69">
        <v>0.313637</v>
      </c>
      <c r="H272" s="69">
        <v>0.22597500000000001</v>
      </c>
      <c r="I272" s="69">
        <v>-18.369636</v>
      </c>
    </row>
    <row r="273" spans="1:16" x14ac:dyDescent="0.25">
      <c r="C273" t="s">
        <v>125</v>
      </c>
      <c r="F273" s="69" t="s">
        <v>96</v>
      </c>
      <c r="G273" s="69">
        <v>0.16069600000000001</v>
      </c>
      <c r="H273" s="69">
        <v>0.105046</v>
      </c>
      <c r="I273" s="69">
        <v>116.525615</v>
      </c>
    </row>
    <row r="274" spans="1:16" x14ac:dyDescent="0.25">
      <c r="F274" s="69" t="s">
        <v>97</v>
      </c>
      <c r="G274" s="69">
        <f>G272-G273</f>
        <v>0.15294099999999999</v>
      </c>
      <c r="H274" s="69">
        <f>H272-H273</f>
        <v>0.12092900000000001</v>
      </c>
      <c r="I274" s="69">
        <f t="shared" ref="I274" si="32">I272-I273</f>
        <v>-134.895251</v>
      </c>
    </row>
    <row r="275" spans="1:16" ht="15.75" x14ac:dyDescent="0.25">
      <c r="F275" s="69"/>
      <c r="G275" s="69" t="s">
        <v>99</v>
      </c>
      <c r="H275" s="69" t="s">
        <v>100</v>
      </c>
      <c r="I275" s="69" t="s">
        <v>98</v>
      </c>
      <c r="J275" s="138"/>
      <c r="K275" s="138"/>
      <c r="L275" s="138"/>
      <c r="M275" s="138"/>
      <c r="N275" s="138"/>
      <c r="O275" s="138"/>
      <c r="P275" s="138"/>
    </row>
    <row r="276" spans="1:16" ht="15.75" x14ac:dyDescent="0.25">
      <c r="J276" s="138"/>
      <c r="K276" s="5"/>
      <c r="L276" s="5"/>
      <c r="M276" s="5"/>
      <c r="N276" s="5"/>
      <c r="O276" s="5"/>
      <c r="P276" s="5"/>
    </row>
    <row r="277" spans="1:16" ht="15.75" x14ac:dyDescent="0.25">
      <c r="F277" s="75" t="s">
        <v>95</v>
      </c>
      <c r="G277" s="75">
        <v>0.313637</v>
      </c>
      <c r="H277" s="75">
        <v>0.22597500000000001</v>
      </c>
      <c r="I277" s="75">
        <v>-18.369636</v>
      </c>
      <c r="J277" s="138"/>
      <c r="K277" s="5"/>
      <c r="L277" s="5"/>
      <c r="M277" s="5"/>
      <c r="N277" s="5"/>
      <c r="O277" s="5"/>
      <c r="P277" s="5"/>
    </row>
    <row r="278" spans="1:16" ht="15.75" x14ac:dyDescent="0.25">
      <c r="F278" s="75" t="s">
        <v>96</v>
      </c>
      <c r="G278" s="75">
        <v>0.18206900000000001</v>
      </c>
      <c r="H278" s="75">
        <v>0.102121</v>
      </c>
      <c r="I278" s="75">
        <v>116.527022</v>
      </c>
      <c r="J278" s="138"/>
      <c r="K278" s="5"/>
      <c r="L278" s="5"/>
      <c r="M278" s="5"/>
      <c r="N278" s="5"/>
      <c r="O278" s="5"/>
      <c r="P278" s="5"/>
    </row>
    <row r="279" spans="1:16" x14ac:dyDescent="0.25">
      <c r="F279" s="75" t="s">
        <v>97</v>
      </c>
      <c r="G279" s="75">
        <f>G277-G278</f>
        <v>0.13156799999999999</v>
      </c>
      <c r="H279" s="75">
        <f>H277-H278</f>
        <v>0.12385400000000001</v>
      </c>
      <c r="I279" s="75">
        <f t="shared" ref="I279" si="33">I277-I278</f>
        <v>-134.896658</v>
      </c>
    </row>
    <row r="280" spans="1:16" x14ac:dyDescent="0.25">
      <c r="F280" s="75"/>
      <c r="G280" s="75" t="s">
        <v>99</v>
      </c>
      <c r="H280" s="75" t="s">
        <v>100</v>
      </c>
      <c r="I280" s="75" t="s">
        <v>98</v>
      </c>
    </row>
    <row r="281" spans="1:16" ht="15.75" thickBot="1" x14ac:dyDescent="0.3">
      <c r="F281" s="75"/>
      <c r="G281" s="75"/>
      <c r="H281" s="75"/>
      <c r="I281" s="75"/>
    </row>
    <row r="282" spans="1:16" x14ac:dyDescent="0.25">
      <c r="A282" s="1">
        <f>A265</f>
        <v>43299</v>
      </c>
      <c r="B282" s="2"/>
      <c r="C282" s="2" t="s">
        <v>123</v>
      </c>
      <c r="D282" s="21">
        <v>990.42</v>
      </c>
      <c r="E282" s="22">
        <v>1697.95</v>
      </c>
      <c r="F282" s="22">
        <f>-782.88+800</f>
        <v>17.120000000000005</v>
      </c>
      <c r="G282" s="195">
        <f>I288</f>
        <v>-134.90642099999999</v>
      </c>
      <c r="H282" s="196">
        <f>H288</f>
        <v>0.13139600000000001</v>
      </c>
      <c r="I282" s="196">
        <f>G288</f>
        <v>0.13500599999999999</v>
      </c>
      <c r="J282" s="24"/>
    </row>
    <row r="283" spans="1:16" x14ac:dyDescent="0.25">
      <c r="A283" s="4"/>
      <c r="B283" s="5"/>
      <c r="C283" s="5" t="s">
        <v>392</v>
      </c>
      <c r="D283" s="25">
        <f>$D$1-D282</f>
        <v>-1.9999999999527063E-3</v>
      </c>
      <c r="E283" s="5">
        <f>$E$1-E282</f>
        <v>-0.30200000000013461</v>
      </c>
      <c r="F283" s="5">
        <f>$F$1-F282</f>
        <v>23.316999999999993</v>
      </c>
      <c r="G283" s="59">
        <f>$G$1-G282</f>
        <v>-5.2579000000008591E-2</v>
      </c>
      <c r="H283" s="60">
        <f>$H$1-H282</f>
        <v>-8.3960000000000146E-3</v>
      </c>
      <c r="I283" s="60">
        <f>$I$1-I282</f>
        <v>-2.7005999999999988E-2</v>
      </c>
      <c r="J283" s="26"/>
    </row>
    <row r="284" spans="1:16" x14ac:dyDescent="0.25">
      <c r="B284" s="92"/>
      <c r="C284" s="58"/>
      <c r="D284" s="37">
        <f>SQRT(D283^2+E283^2+F283^2)</f>
        <v>23.318955744200892</v>
      </c>
      <c r="E284" s="5"/>
      <c r="F284" s="5"/>
      <c r="G284" s="131">
        <f>G283*PI()/180*1000</f>
        <v>-0.91767666740624854</v>
      </c>
      <c r="H284" s="132">
        <f>H283*PI()/180*1000</f>
        <v>-0.14653784399744413</v>
      </c>
      <c r="I284" s="132">
        <f>I283*PI()/180*1000</f>
        <v>-0.47134361779358841</v>
      </c>
      <c r="J284" s="130">
        <f>SQRT(G284^2+H284^2+I284^2)</f>
        <v>1.0420022128863289</v>
      </c>
    </row>
    <row r="286" spans="1:16" x14ac:dyDescent="0.25">
      <c r="C286" s="20"/>
      <c r="F286" s="197" t="s">
        <v>95</v>
      </c>
      <c r="G286" s="197">
        <v>0.313637</v>
      </c>
      <c r="H286" s="197">
        <v>0.22597500000000001</v>
      </c>
      <c r="I286" s="197">
        <v>-18.369636</v>
      </c>
    </row>
    <row r="287" spans="1:16" x14ac:dyDescent="0.25">
      <c r="F287" s="197" t="s">
        <v>96</v>
      </c>
      <c r="G287" s="197">
        <v>0.17863100000000001</v>
      </c>
      <c r="H287" s="197">
        <v>9.4578999999999996E-2</v>
      </c>
      <c r="I287" s="198">
        <v>116.53678499999999</v>
      </c>
    </row>
    <row r="288" spans="1:16" x14ac:dyDescent="0.25">
      <c r="F288" s="197" t="s">
        <v>97</v>
      </c>
      <c r="G288" s="197">
        <f>G286-G287</f>
        <v>0.13500599999999999</v>
      </c>
      <c r="H288" s="197">
        <f>H286-H287</f>
        <v>0.13139600000000001</v>
      </c>
      <c r="I288" s="197">
        <f t="shared" ref="I288" si="34">I286-I287</f>
        <v>-134.90642099999999</v>
      </c>
    </row>
    <row r="289" spans="1:17" ht="15.75" x14ac:dyDescent="0.25">
      <c r="F289" s="197"/>
      <c r="G289" s="197" t="s">
        <v>99</v>
      </c>
      <c r="H289" s="197" t="s">
        <v>100</v>
      </c>
      <c r="I289" s="197" t="s">
        <v>98</v>
      </c>
      <c r="J289" s="138"/>
    </row>
    <row r="290" spans="1:17" x14ac:dyDescent="0.25">
      <c r="F290" s="75"/>
      <c r="G290" s="75"/>
      <c r="H290" s="75"/>
      <c r="I290" s="75"/>
    </row>
    <row r="291" spans="1:17" ht="15.75" thickBot="1" x14ac:dyDescent="0.3"/>
    <row r="292" spans="1:17" x14ac:dyDescent="0.25">
      <c r="A292" s="1">
        <f>A265</f>
        <v>43299</v>
      </c>
      <c r="B292" s="2"/>
      <c r="C292" s="2" t="s">
        <v>129</v>
      </c>
      <c r="D292" s="62">
        <v>989.91</v>
      </c>
      <c r="E292" s="61">
        <v>1698.26</v>
      </c>
      <c r="F292" s="61">
        <v>40.97</v>
      </c>
      <c r="G292" s="95">
        <v>-134.88399999999999</v>
      </c>
      <c r="H292" s="96">
        <v>0.16800000000000001</v>
      </c>
      <c r="I292" s="96">
        <v>0.08</v>
      </c>
      <c r="J292" s="24">
        <v>0.06</v>
      </c>
      <c r="K292" s="45">
        <v>-25.6</v>
      </c>
      <c r="L292" s="45">
        <v>108.73</v>
      </c>
      <c r="M292" s="45">
        <v>9.1</v>
      </c>
      <c r="N292" s="46">
        <v>0</v>
      </c>
      <c r="O292" s="45">
        <v>0</v>
      </c>
      <c r="P292" s="45">
        <v>0</v>
      </c>
      <c r="Q292" s="47">
        <v>0.02</v>
      </c>
    </row>
    <row r="293" spans="1:17" x14ac:dyDescent="0.25">
      <c r="A293" s="4"/>
      <c r="B293" s="5"/>
      <c r="C293" s="58" t="s">
        <v>122</v>
      </c>
      <c r="D293" s="63">
        <f>$D$1-D292</f>
        <v>0.5080000000000382</v>
      </c>
      <c r="E293" s="60">
        <f>$E$1-E292</f>
        <v>-0.61200000000008004</v>
      </c>
      <c r="F293" s="60">
        <f>$F$1-F292</f>
        <v>-0.53300000000000125</v>
      </c>
      <c r="G293" s="59">
        <f>$G$1-G292</f>
        <v>-7.5000000000017053E-2</v>
      </c>
      <c r="H293" s="60">
        <f>$H$1-H292</f>
        <v>-4.5000000000000012E-2</v>
      </c>
      <c r="I293" s="60">
        <f>$I$1-I292</f>
        <v>2.7999999999999997E-2</v>
      </c>
      <c r="J293" s="26"/>
      <c r="K293" s="5">
        <f>$K$1-K292</f>
        <v>270.97000000000003</v>
      </c>
      <c r="L293" s="5">
        <f>$L$1-L292</f>
        <v>-108.45</v>
      </c>
      <c r="M293" s="5">
        <f>$M$1-M292</f>
        <v>83.296000000000006</v>
      </c>
      <c r="N293" s="4">
        <f>$N$1-N292</f>
        <v>0.15</v>
      </c>
      <c r="O293" s="5">
        <f>$O$1-O292</f>
        <v>90.01</v>
      </c>
      <c r="P293" s="5">
        <f>$P$1-P292</f>
        <v>0.2</v>
      </c>
      <c r="Q293" s="6"/>
    </row>
    <row r="294" spans="1:17" ht="15.75" thickBot="1" x14ac:dyDescent="0.3">
      <c r="A294" s="4"/>
      <c r="B294" s="5"/>
      <c r="C294" s="5" t="s">
        <v>128</v>
      </c>
      <c r="D294" s="37">
        <f>SQRT(D293^2+E293^2+F293^2)</f>
        <v>0.9574429486920556</v>
      </c>
      <c r="E294" s="5"/>
      <c r="F294" s="5"/>
      <c r="G294" s="131">
        <f>G293*PI()/180*1000</f>
        <v>-1.3089969389960447</v>
      </c>
      <c r="H294" s="132">
        <f>H293*PI()/180*1000</f>
        <v>-0.78539816339744839</v>
      </c>
      <c r="I294" s="132">
        <f>I293*PI()/180*1000</f>
        <v>0.48869219055841223</v>
      </c>
      <c r="J294" s="130">
        <f>SQRT(G294^2+H294^2+I294^2)</f>
        <v>1.6028547402936673</v>
      </c>
      <c r="K294" s="37">
        <f>SQRT(K293^2+L293^2+M293^2)</f>
        <v>303.5199614786481</v>
      </c>
      <c r="L294" s="5"/>
      <c r="M294" s="5"/>
      <c r="N294" s="4"/>
      <c r="O294" s="5"/>
      <c r="P294" s="5"/>
      <c r="Q294" s="6"/>
    </row>
    <row r="295" spans="1:17" x14ac:dyDescent="0.25">
      <c r="A295" s="1">
        <f>A268</f>
        <v>43299</v>
      </c>
      <c r="B295" s="2"/>
      <c r="C295" s="2" t="s">
        <v>130</v>
      </c>
      <c r="D295" s="62">
        <v>989.98</v>
      </c>
      <c r="E295" s="61">
        <v>1698.16</v>
      </c>
      <c r="F295" s="61">
        <v>40.98</v>
      </c>
      <c r="G295" s="95">
        <v>-134.88499999999999</v>
      </c>
      <c r="H295" s="96">
        <v>0.17</v>
      </c>
      <c r="I295" s="96">
        <v>8.5000000000000006E-2</v>
      </c>
      <c r="J295" s="24">
        <v>0.06</v>
      </c>
      <c r="K295" s="45">
        <v>-25.61</v>
      </c>
      <c r="L295" s="45">
        <v>108.7</v>
      </c>
      <c r="M295" s="45">
        <v>9</v>
      </c>
      <c r="N295" s="46">
        <v>0</v>
      </c>
      <c r="O295" s="45">
        <v>0</v>
      </c>
      <c r="P295" s="45">
        <v>0</v>
      </c>
      <c r="Q295" s="47">
        <v>0.02</v>
      </c>
    </row>
    <row r="296" spans="1:17" x14ac:dyDescent="0.25">
      <c r="A296" s="4"/>
      <c r="B296" s="5"/>
      <c r="C296" s="58" t="s">
        <v>122</v>
      </c>
      <c r="D296" s="63">
        <f>$D$1-D295</f>
        <v>0.43799999999998818</v>
      </c>
      <c r="E296" s="60">
        <f>$E$1-E295</f>
        <v>-0.51200000000017099</v>
      </c>
      <c r="F296" s="60">
        <f>$F$1-F295</f>
        <v>-0.54299999999999926</v>
      </c>
      <c r="G296" s="59">
        <f>$G$1-G295</f>
        <v>-7.4000000000012278E-2</v>
      </c>
      <c r="H296" s="60">
        <f>$H$1-H295</f>
        <v>-4.7000000000000014E-2</v>
      </c>
      <c r="I296" s="60">
        <f>$I$1-I295</f>
        <v>2.2999999999999993E-2</v>
      </c>
      <c r="J296" s="26"/>
      <c r="K296" s="5">
        <f>$K$1-K295</f>
        <v>270.98</v>
      </c>
      <c r="L296" s="5">
        <f>$L$1-L295</f>
        <v>-108.42</v>
      </c>
      <c r="M296" s="5">
        <f>$M$1-M295</f>
        <v>83.396000000000001</v>
      </c>
      <c r="N296" s="4">
        <f>$N$1-N295</f>
        <v>0.15</v>
      </c>
      <c r="O296" s="5">
        <f>$O$1-O295</f>
        <v>90.01</v>
      </c>
      <c r="P296" s="5">
        <f>$P$1-P295</f>
        <v>0.2</v>
      </c>
      <c r="Q296" s="6"/>
    </row>
    <row r="297" spans="1:17" ht="15.75" thickBot="1" x14ac:dyDescent="0.3">
      <c r="A297" s="4"/>
      <c r="B297" s="5"/>
      <c r="C297" s="5" t="s">
        <v>128</v>
      </c>
      <c r="D297" s="37">
        <f>SQRT(D296^2+E296^2+F296^2)</f>
        <v>0.8653536849174237</v>
      </c>
      <c r="E297" s="5"/>
      <c r="F297" s="5"/>
      <c r="G297" s="131">
        <f>G296*PI()/180*1000</f>
        <v>-1.2915436464760182</v>
      </c>
      <c r="H297" s="132">
        <f>H296*PI()/180*1000</f>
        <v>-0.82030474843733503</v>
      </c>
      <c r="I297" s="132">
        <f>I296*PI()/180*1000</f>
        <v>0.40142572795869569</v>
      </c>
      <c r="J297" s="130">
        <f>SQRT(G297^2+H297^2+I297^2)</f>
        <v>1.5818114571998074</v>
      </c>
      <c r="K297" s="37">
        <f>SQRT(K296^2+L296^2+M296^2)</f>
        <v>303.54563020409307</v>
      </c>
      <c r="L297" s="5"/>
      <c r="M297" s="5"/>
      <c r="N297" s="4"/>
      <c r="O297" s="5"/>
      <c r="P297" s="5"/>
      <c r="Q297" s="6"/>
    </row>
    <row r="298" spans="1:17" x14ac:dyDescent="0.25">
      <c r="A298" s="1">
        <f>A295</f>
        <v>43299</v>
      </c>
      <c r="B298" s="2"/>
      <c r="C298" s="2" t="s">
        <v>131</v>
      </c>
      <c r="D298" s="62">
        <v>990</v>
      </c>
      <c r="E298" s="61">
        <v>1698.23</v>
      </c>
      <c r="F298" s="61">
        <v>40.96</v>
      </c>
      <c r="G298" s="95">
        <v>-134.88900000000001</v>
      </c>
      <c r="H298" s="96">
        <v>0.17100000000000001</v>
      </c>
      <c r="I298" s="96">
        <v>8.1000000000000003E-2</v>
      </c>
      <c r="J298" s="24">
        <v>0.05</v>
      </c>
      <c r="K298" s="45">
        <v>245.96</v>
      </c>
      <c r="L298" s="45">
        <v>0.28999999999999998</v>
      </c>
      <c r="M298" s="45">
        <v>92.56</v>
      </c>
      <c r="N298" s="46">
        <v>0</v>
      </c>
      <c r="O298" s="45">
        <v>0</v>
      </c>
      <c r="P298" s="45">
        <v>0</v>
      </c>
      <c r="Q298" s="47">
        <v>0.01</v>
      </c>
    </row>
    <row r="299" spans="1:17" x14ac:dyDescent="0.25">
      <c r="A299" s="4"/>
      <c r="B299" s="5"/>
      <c r="C299" s="58" t="s">
        <v>122</v>
      </c>
      <c r="D299" s="63">
        <f>$D$1-D298</f>
        <v>0.41800000000000637</v>
      </c>
      <c r="E299" s="60">
        <f>$E$1-E298</f>
        <v>-0.58200000000010732</v>
      </c>
      <c r="F299" s="60">
        <f>$F$1-F298</f>
        <v>-0.52300000000000324</v>
      </c>
      <c r="G299" s="59">
        <f>$G$1-G298</f>
        <v>-6.9999999999993179E-2</v>
      </c>
      <c r="H299" s="60">
        <f>$H$1-H298</f>
        <v>-4.8000000000000015E-2</v>
      </c>
      <c r="I299" s="60">
        <f>$I$1-I298</f>
        <v>2.6999999999999996E-2</v>
      </c>
      <c r="J299" s="26"/>
      <c r="K299" s="5">
        <f>$K$1-K298</f>
        <v>-0.59000000000000341</v>
      </c>
      <c r="L299" s="5">
        <f>$L$1-L298</f>
        <v>-9.9999999999999534E-3</v>
      </c>
      <c r="M299" s="5">
        <f>$M$1-M298</f>
        <v>-0.16400000000000148</v>
      </c>
      <c r="N299" s="4">
        <f>$N$1-N298</f>
        <v>0.15</v>
      </c>
      <c r="O299" s="5">
        <f>$O$1-O298</f>
        <v>90.01</v>
      </c>
      <c r="P299" s="5">
        <f>$P$1-P298</f>
        <v>0.2</v>
      </c>
      <c r="Q299" s="6"/>
    </row>
    <row r="300" spans="1:17" x14ac:dyDescent="0.25">
      <c r="A300" s="4"/>
      <c r="B300" s="5"/>
      <c r="C300" s="5" t="s">
        <v>128</v>
      </c>
      <c r="D300" s="37">
        <f>SQRT(D299^2+E299^2+F299^2)</f>
        <v>0.88711724140619297</v>
      </c>
      <c r="E300" s="5"/>
      <c r="F300" s="5"/>
      <c r="G300" s="131">
        <f>G299*PI()/180*1000</f>
        <v>-1.2217304763959118</v>
      </c>
      <c r="H300" s="132">
        <f>H299*PI()/180*1000</f>
        <v>-0.83775804095727846</v>
      </c>
      <c r="I300" s="132">
        <f>I299*PI()/180*1000</f>
        <v>0.47123889803846886</v>
      </c>
      <c r="J300" s="130">
        <f>SQRT(G300^2+H300^2+I300^2)</f>
        <v>1.5545192154385448</v>
      </c>
      <c r="K300" s="37">
        <f>SQRT(K299^2+L299^2+M299^2)</f>
        <v>0.61245081435165427</v>
      </c>
      <c r="L300" s="5"/>
      <c r="M300" s="5"/>
      <c r="N300" s="4"/>
      <c r="O300" s="5"/>
      <c r="P300" s="5"/>
      <c r="Q300" s="6"/>
    </row>
    <row r="301" spans="1:17" x14ac:dyDescent="0.25">
      <c r="A301" s="97"/>
      <c r="B301" s="5"/>
      <c r="C301" s="5"/>
      <c r="D301" s="60"/>
      <c r="E301" s="60"/>
      <c r="F301" s="60"/>
      <c r="G301" s="98"/>
      <c r="H301" s="98"/>
      <c r="I301" s="98"/>
      <c r="J301" s="5"/>
      <c r="K301" s="99"/>
      <c r="L301" s="99"/>
      <c r="M301" s="99"/>
      <c r="N301" s="99"/>
      <c r="O301" s="99"/>
      <c r="P301" s="99"/>
      <c r="Q301" s="99"/>
    </row>
    <row r="302" spans="1:17" ht="15.75" thickBot="1" x14ac:dyDescent="0.3">
      <c r="A302" s="43" t="s">
        <v>53</v>
      </c>
      <c r="C302" s="58" t="s">
        <v>135</v>
      </c>
      <c r="K302" t="s">
        <v>55</v>
      </c>
    </row>
    <row r="303" spans="1:17" x14ac:dyDescent="0.25">
      <c r="A303" s="1">
        <v>43300</v>
      </c>
      <c r="B303" s="2"/>
      <c r="C303" s="2" t="s">
        <v>138</v>
      </c>
      <c r="D303" s="21">
        <v>989.84</v>
      </c>
      <c r="E303" s="22">
        <v>1698.92</v>
      </c>
      <c r="F303" s="22">
        <v>41.38</v>
      </c>
      <c r="G303" s="23">
        <v>-134.88</v>
      </c>
      <c r="H303" s="22">
        <v>0.17899999999999999</v>
      </c>
      <c r="I303" s="22">
        <v>7.0999999999999994E-2</v>
      </c>
      <c r="J303" s="24">
        <v>0.09</v>
      </c>
      <c r="K303" s="45">
        <v>-258.55</v>
      </c>
      <c r="L303" s="45">
        <v>-48.18</v>
      </c>
      <c r="M303" s="45">
        <v>-36.659999999999997</v>
      </c>
      <c r="N303" s="46">
        <v>0</v>
      </c>
      <c r="O303" s="45">
        <v>0</v>
      </c>
      <c r="P303" s="45">
        <v>0</v>
      </c>
      <c r="Q303" s="47">
        <v>0.02</v>
      </c>
    </row>
    <row r="304" spans="1:17" x14ac:dyDescent="0.25">
      <c r="A304" s="4"/>
      <c r="B304" s="5"/>
      <c r="C304" s="58" t="s">
        <v>148</v>
      </c>
      <c r="D304" s="25">
        <f>$D$1-D303</f>
        <v>0.57799999999997453</v>
      </c>
      <c r="E304" s="5">
        <f>$E$1-E303</f>
        <v>-1.2720000000001619</v>
      </c>
      <c r="F304" s="5">
        <f>$F$1-F303</f>
        <v>-0.94300000000000495</v>
      </c>
      <c r="G304" s="4">
        <f>$G$1-G303</f>
        <v>-7.9000000000007731E-2</v>
      </c>
      <c r="H304" s="5">
        <f>$H$1-H303</f>
        <v>-5.5999999999999994E-2</v>
      </c>
      <c r="I304" s="5">
        <f>$I$1-I303</f>
        <v>3.7000000000000005E-2</v>
      </c>
      <c r="J304" s="26"/>
      <c r="K304" s="5">
        <f>$K$1-K303</f>
        <v>503.92</v>
      </c>
      <c r="L304" s="5">
        <f>$L$1-L303</f>
        <v>48.46</v>
      </c>
      <c r="M304" s="5">
        <f>$M$1-M303</f>
        <v>129.05599999999998</v>
      </c>
      <c r="N304" s="4">
        <f>$N$1-N303</f>
        <v>0.15</v>
      </c>
      <c r="O304" s="5">
        <f>$O$1-O303</f>
        <v>90.01</v>
      </c>
      <c r="P304" s="5">
        <f>$P$1-P303</f>
        <v>0.2</v>
      </c>
      <c r="Q304" s="6"/>
    </row>
    <row r="305" spans="1:17" ht="15.75" thickBot="1" x14ac:dyDescent="0.3">
      <c r="A305" s="4"/>
      <c r="B305" s="5"/>
      <c r="C305" s="58" t="s">
        <v>134</v>
      </c>
      <c r="D305" s="37">
        <f>SQRT(D304^2+E304^2+F304^2)</f>
        <v>1.6856206572062387</v>
      </c>
      <c r="E305" s="5"/>
      <c r="F305" s="5"/>
      <c r="G305" s="131">
        <f>G304*PI()/180*1000</f>
        <v>-1.3788101090756553</v>
      </c>
      <c r="H305" s="132">
        <f>H304*PI()/180*1000</f>
        <v>-0.97738438111682446</v>
      </c>
      <c r="I305" s="132">
        <f>I304*PI()/180*1000</f>
        <v>0.64577182323790194</v>
      </c>
      <c r="J305" s="130">
        <f>SQRT(G305^2+H305^2+I305^2)</f>
        <v>1.8092591834859766</v>
      </c>
      <c r="K305" s="37">
        <f>SQRT(K304^2+L304^2+M304^2)</f>
        <v>522.43582298307228</v>
      </c>
      <c r="L305" s="5"/>
      <c r="M305" s="5"/>
      <c r="N305" s="4"/>
      <c r="O305" s="5"/>
      <c r="P305" s="5"/>
      <c r="Q305" s="6"/>
    </row>
    <row r="306" spans="1:17" x14ac:dyDescent="0.25">
      <c r="A306" s="1">
        <f>A303</f>
        <v>43300</v>
      </c>
      <c r="B306" s="2"/>
      <c r="C306" s="2" t="s">
        <v>137</v>
      </c>
      <c r="D306" s="21">
        <v>989.87</v>
      </c>
      <c r="E306" s="22">
        <v>1698.86</v>
      </c>
      <c r="F306" s="22">
        <v>41.08</v>
      </c>
      <c r="G306" s="23">
        <v>-134.87899999999999</v>
      </c>
      <c r="H306" s="22">
        <v>0.17499999999999999</v>
      </c>
      <c r="I306" s="22">
        <v>7.5999999999999998E-2</v>
      </c>
      <c r="J306" s="24">
        <v>7.0000000000000007E-2</v>
      </c>
      <c r="K306" s="2">
        <v>-258.58</v>
      </c>
      <c r="L306" s="2">
        <v>-48.22</v>
      </c>
      <c r="M306" s="2">
        <v>-36.61</v>
      </c>
      <c r="N306" s="13">
        <v>0</v>
      </c>
      <c r="O306" s="2">
        <v>0</v>
      </c>
      <c r="P306" s="2">
        <v>0</v>
      </c>
      <c r="Q306" s="3">
        <v>0.02</v>
      </c>
    </row>
    <row r="307" spans="1:17" x14ac:dyDescent="0.25">
      <c r="A307" s="4"/>
      <c r="B307" s="5"/>
      <c r="C307" s="58" t="s">
        <v>36</v>
      </c>
      <c r="D307" s="25">
        <f>$D$1-D306</f>
        <v>0.54800000000000182</v>
      </c>
      <c r="E307" s="5">
        <f>$E$1-E306</f>
        <v>-1.2119999999999891</v>
      </c>
      <c r="F307" s="5">
        <f>$F$1-F306</f>
        <v>-0.64300000000000068</v>
      </c>
      <c r="G307" s="4">
        <f>$G$1-G306</f>
        <v>-8.0000000000012506E-2</v>
      </c>
      <c r="H307" s="5">
        <f>$H$1-H306</f>
        <v>-5.1999999999999991E-2</v>
      </c>
      <c r="I307" s="5">
        <f>$I$1-I306</f>
        <v>3.2000000000000001E-2</v>
      </c>
      <c r="J307" s="26"/>
      <c r="K307" s="5">
        <f>$K$1-K306</f>
        <v>503.95</v>
      </c>
      <c r="L307" s="5">
        <f>$L$1-L306</f>
        <v>48.5</v>
      </c>
      <c r="M307" s="5">
        <f>$M$1-M306</f>
        <v>129.006</v>
      </c>
      <c r="N307" s="4">
        <f>$N$1-N306</f>
        <v>0.15</v>
      </c>
      <c r="O307" s="5">
        <f>$O$1-O306</f>
        <v>90.01</v>
      </c>
      <c r="P307" s="5">
        <f>$P$1-P306</f>
        <v>0.2</v>
      </c>
      <c r="Q307" s="6"/>
    </row>
    <row r="308" spans="1:17" ht="15.75" thickBot="1" x14ac:dyDescent="0.3">
      <c r="A308" s="4"/>
      <c r="B308" s="5"/>
      <c r="C308" s="58" t="s">
        <v>136</v>
      </c>
      <c r="D308" s="37">
        <f>SQRT(D307^2+E307^2+F307^2)</f>
        <v>1.4773953431630873</v>
      </c>
      <c r="E308" s="5"/>
      <c r="F308" s="5"/>
      <c r="G308" s="131">
        <f>G307*PI()/180*1000</f>
        <v>-1.3962634015956819</v>
      </c>
      <c r="H308" s="132">
        <f>H307*PI()/180*1000</f>
        <v>-0.90757121103705118</v>
      </c>
      <c r="I308" s="132">
        <f>I307*PI()/180*1000</f>
        <v>0.55850536063818546</v>
      </c>
      <c r="J308" s="130">
        <f>SQRT(G308^2+H308^2+I308^2)</f>
        <v>1.756463841814113</v>
      </c>
      <c r="K308" s="37">
        <f>SQRT(K307^2+L307^2+M307^2)</f>
        <v>522.45612307255044</v>
      </c>
      <c r="L308" s="5"/>
      <c r="M308" s="5"/>
      <c r="N308" s="4"/>
      <c r="O308" s="5"/>
      <c r="P308" s="5"/>
      <c r="Q308" s="6"/>
    </row>
    <row r="309" spans="1:17" x14ac:dyDescent="0.25">
      <c r="A309" s="1">
        <f>A306</f>
        <v>43300</v>
      </c>
      <c r="B309" s="2"/>
      <c r="C309" s="2" t="s">
        <v>139</v>
      </c>
      <c r="D309" s="21">
        <v>990.25</v>
      </c>
      <c r="E309" s="22">
        <v>1697.97</v>
      </c>
      <c r="F309" s="22">
        <v>40.74</v>
      </c>
      <c r="G309" s="23">
        <v>-134.88499999999999</v>
      </c>
      <c r="H309" s="22">
        <v>0.16900000000000001</v>
      </c>
      <c r="I309" s="22">
        <v>9.4E-2</v>
      </c>
      <c r="J309" s="24">
        <v>0.06</v>
      </c>
      <c r="K309" s="2">
        <v>-258.39</v>
      </c>
      <c r="L309" s="2">
        <v>-48.36</v>
      </c>
      <c r="M309" s="2">
        <v>-36.67</v>
      </c>
      <c r="N309" s="13">
        <v>0</v>
      </c>
      <c r="O309" s="2">
        <v>0</v>
      </c>
      <c r="P309" s="2">
        <v>0</v>
      </c>
      <c r="Q309" s="3">
        <v>0.02</v>
      </c>
    </row>
    <row r="310" spans="1:17" x14ac:dyDescent="0.25">
      <c r="A310" s="4"/>
      <c r="B310" s="5"/>
      <c r="C310" s="58" t="s">
        <v>149</v>
      </c>
      <c r="D310" s="25">
        <f>$D$1-D309</f>
        <v>0.16800000000000637</v>
      </c>
      <c r="E310" s="5">
        <f>$E$1-E309</f>
        <v>-0.32200000000011642</v>
      </c>
      <c r="F310" s="5">
        <f>$F$1-F309</f>
        <v>-0.30300000000000438</v>
      </c>
      <c r="G310" s="4">
        <f>$G$1-G309</f>
        <v>-7.4000000000012278E-2</v>
      </c>
      <c r="H310" s="5">
        <f>$H$1-H309</f>
        <v>-4.6000000000000013E-2</v>
      </c>
      <c r="I310" s="5">
        <f>$I$1-I309</f>
        <v>1.3999999999999999E-2</v>
      </c>
      <c r="J310" s="26"/>
      <c r="K310" s="5">
        <f>$K$1-K309</f>
        <v>503.76</v>
      </c>
      <c r="L310" s="5">
        <f>$L$1-L309</f>
        <v>48.64</v>
      </c>
      <c r="M310" s="5">
        <f>$M$1-M309</f>
        <v>129.066</v>
      </c>
      <c r="N310" s="4">
        <f>$N$1-N309</f>
        <v>0.15</v>
      </c>
      <c r="O310" s="5">
        <f>$O$1-O309</f>
        <v>90.01</v>
      </c>
      <c r="P310" s="5">
        <f>$P$1-P309</f>
        <v>0.2</v>
      </c>
      <c r="Q310" s="6"/>
    </row>
    <row r="311" spans="1:17" ht="15.75" thickBot="1" x14ac:dyDescent="0.3">
      <c r="A311" s="4"/>
      <c r="B311" s="5"/>
      <c r="C311" s="58" t="s">
        <v>134</v>
      </c>
      <c r="D311" s="37">
        <f>SQRT(D310^2+E310^2+F310^2)</f>
        <v>0.47298731484055656</v>
      </c>
      <c r="E311" s="5"/>
      <c r="F311" s="5"/>
      <c r="G311" s="131">
        <f>G310*PI()/180*1000</f>
        <v>-1.2915436464760182</v>
      </c>
      <c r="H311" s="132">
        <f>H310*PI()/180*1000</f>
        <v>-0.80285145591739182</v>
      </c>
      <c r="I311" s="132">
        <f>I310*PI()/180*1000</f>
        <v>0.24434609527920612</v>
      </c>
      <c r="J311" s="130">
        <f>SQRT(G311^2+H311^2+I311^2)</f>
        <v>1.5402468845283994</v>
      </c>
      <c r="K311" s="37">
        <f>SQRT(K310^2+L310^2+M310^2)</f>
        <v>522.30069840657882</v>
      </c>
      <c r="L311" s="5"/>
      <c r="M311" s="5"/>
      <c r="N311" s="4"/>
      <c r="O311" s="5"/>
      <c r="P311" s="5"/>
      <c r="Q311" s="6"/>
    </row>
    <row r="312" spans="1:17" x14ac:dyDescent="0.25">
      <c r="A312" s="1">
        <f>A309</f>
        <v>43300</v>
      </c>
      <c r="B312" s="2"/>
      <c r="C312" s="2" t="s">
        <v>347</v>
      </c>
      <c r="D312" s="21">
        <v>989.85</v>
      </c>
      <c r="E312" s="22">
        <v>1698.19</v>
      </c>
      <c r="F312" s="22">
        <v>40.81</v>
      </c>
      <c r="G312" s="23">
        <v>-134.886</v>
      </c>
      <c r="H312" s="22">
        <v>0.16300000000000001</v>
      </c>
      <c r="I312" s="22">
        <v>8.1000000000000003E-2</v>
      </c>
      <c r="J312" s="24">
        <v>0.06</v>
      </c>
      <c r="K312" s="2">
        <v>-258.43</v>
      </c>
      <c r="L312" s="2">
        <v>-48.26</v>
      </c>
      <c r="M312" s="2">
        <v>-36.590000000000003</v>
      </c>
      <c r="N312" s="13">
        <v>0</v>
      </c>
      <c r="O312" s="2">
        <v>0</v>
      </c>
      <c r="P312" s="2">
        <v>0</v>
      </c>
      <c r="Q312" s="3">
        <v>0.02</v>
      </c>
    </row>
    <row r="313" spans="1:17" x14ac:dyDescent="0.25">
      <c r="A313" s="4"/>
      <c r="B313" s="5"/>
      <c r="C313" s="188" t="s">
        <v>113</v>
      </c>
      <c r="D313" s="25">
        <f>$D$1-D312</f>
        <v>0.56799999999998363</v>
      </c>
      <c r="E313" s="5">
        <f>$E$1-E312</f>
        <v>-0.5420000000001437</v>
      </c>
      <c r="F313" s="5">
        <f>$F$1-F312</f>
        <v>-0.37300000000000466</v>
      </c>
      <c r="G313" s="4">
        <f>$G$1-G312</f>
        <v>-7.3000000000007503E-2</v>
      </c>
      <c r="H313" s="5">
        <f>$H$1-H312</f>
        <v>-4.0000000000000008E-2</v>
      </c>
      <c r="I313" s="5">
        <f>$I$1-I312</f>
        <v>2.6999999999999996E-2</v>
      </c>
      <c r="J313" s="26"/>
      <c r="K313" s="5">
        <f>$K$1-K312</f>
        <v>503.8</v>
      </c>
      <c r="L313" s="5">
        <f>$L$1-L312</f>
        <v>48.54</v>
      </c>
      <c r="M313" s="5">
        <f>$M$1-M312</f>
        <v>128.98599999999999</v>
      </c>
      <c r="N313" s="4">
        <f>$N$1-N312</f>
        <v>0.15</v>
      </c>
      <c r="O313" s="5">
        <f>$O$1-O312</f>
        <v>90.01</v>
      </c>
      <c r="P313" s="5">
        <f>$P$1-P312</f>
        <v>0.2</v>
      </c>
      <c r="Q313" s="6"/>
    </row>
    <row r="314" spans="1:17" ht="15.75" thickBot="1" x14ac:dyDescent="0.3">
      <c r="A314" s="4"/>
      <c r="B314" s="5"/>
      <c r="C314" s="58" t="s">
        <v>145</v>
      </c>
      <c r="D314" s="37">
        <f>SQRT(D313^2+E313^2+F313^2)</f>
        <v>0.86920480900656583</v>
      </c>
      <c r="E314" s="5"/>
      <c r="F314" s="5"/>
      <c r="G314" s="131">
        <f>G313*PI()/180*1000</f>
        <v>-1.2740903539559916</v>
      </c>
      <c r="H314" s="132">
        <f>H313*PI()/180*1000</f>
        <v>-0.6981317007977319</v>
      </c>
      <c r="I314" s="132">
        <f>I313*PI()/180*1000</f>
        <v>0.47123889803846886</v>
      </c>
      <c r="J314" s="130">
        <f>SQRT(G314^2+H314^2+I314^2)</f>
        <v>1.5273376184481766</v>
      </c>
      <c r="K314" s="37">
        <f>SQRT(K313^2+L313^2+M313^2)</f>
        <v>522.31021414098348</v>
      </c>
      <c r="L314" s="5"/>
      <c r="M314" s="5"/>
      <c r="N314" s="4"/>
      <c r="O314" s="5"/>
      <c r="P314" s="5"/>
      <c r="Q314" s="6"/>
    </row>
    <row r="315" spans="1:17" x14ac:dyDescent="0.25">
      <c r="A315" s="1">
        <f>A312</f>
        <v>43300</v>
      </c>
      <c r="B315" s="2"/>
      <c r="C315" s="2" t="s">
        <v>65</v>
      </c>
      <c r="D315" s="21">
        <v>990.03</v>
      </c>
      <c r="E315" s="22">
        <v>1698.49</v>
      </c>
      <c r="F315" s="22">
        <f>-658.63+700</f>
        <v>41.370000000000005</v>
      </c>
      <c r="G315" s="101">
        <f>O329</f>
        <v>-134.89346600000002</v>
      </c>
      <c r="H315" s="102">
        <f>N329</f>
        <v>-0.19207099999999999</v>
      </c>
      <c r="I315" s="102">
        <f>M329</f>
        <v>2.8864000000000001E-2</v>
      </c>
      <c r="J315" s="24"/>
      <c r="K315" s="2"/>
      <c r="L315" s="2"/>
      <c r="M315" s="2"/>
      <c r="N315" s="13"/>
      <c r="O315" s="2"/>
      <c r="P315" s="2"/>
      <c r="Q315" s="3"/>
    </row>
    <row r="316" spans="1:17" x14ac:dyDescent="0.25">
      <c r="A316" s="4"/>
      <c r="B316" s="5"/>
      <c r="C316" s="58" t="s">
        <v>141</v>
      </c>
      <c r="D316" s="25">
        <f>$D$1-D315</f>
        <v>0.38800000000003365</v>
      </c>
      <c r="E316" s="5">
        <f>$E$1-E315</f>
        <v>-0.84200000000009823</v>
      </c>
      <c r="F316" s="5">
        <f>$F$1-F315</f>
        <v>-0.93300000000000693</v>
      </c>
      <c r="G316" s="59">
        <f>$G$1-G315</f>
        <v>-6.5533999999985326E-2</v>
      </c>
      <c r="H316" s="60">
        <f>$H$1-H315</f>
        <v>0.31507099999999999</v>
      </c>
      <c r="I316" s="60">
        <f>$I$1-I315</f>
        <v>7.9135999999999998E-2</v>
      </c>
      <c r="J316" s="26"/>
      <c r="K316" s="5">
        <f>$K$1-K315</f>
        <v>245.37</v>
      </c>
      <c r="L316" s="5">
        <f>$L$1-L315</f>
        <v>0.28000000000000003</v>
      </c>
      <c r="M316" s="5">
        <f>$M$1-M315</f>
        <v>92.396000000000001</v>
      </c>
      <c r="N316" s="4">
        <f>$N$1-N315</f>
        <v>0.15</v>
      </c>
      <c r="O316" s="5">
        <f>$O$1-O315</f>
        <v>90.01</v>
      </c>
      <c r="P316" s="5">
        <f>$P$1-P315</f>
        <v>0.2</v>
      </c>
      <c r="Q316" s="6"/>
    </row>
    <row r="317" spans="1:17" ht="15.75" thickBot="1" x14ac:dyDescent="0.3">
      <c r="A317" s="4"/>
      <c r="B317" s="5"/>
      <c r="C317" s="58" t="s">
        <v>144</v>
      </c>
      <c r="D317" s="37">
        <f>SQRT(D316^2+E316^2+F316^2)</f>
        <v>1.3152935033672919</v>
      </c>
      <c r="E317" s="5"/>
      <c r="F317" s="5"/>
      <c r="G317" s="131">
        <f>G316*PI()/180*1000</f>
        <v>-1.1437840720017078</v>
      </c>
      <c r="H317" s="132">
        <f>H316*PI()/180*1000</f>
        <v>5.4990263275510536</v>
      </c>
      <c r="I317" s="132">
        <f>I316*PI()/180*1000</f>
        <v>1.3811837568582326</v>
      </c>
      <c r="J317" s="130">
        <f>SQRT(G317^2+H317^2+I317^2)</f>
        <v>5.7840471233102395</v>
      </c>
      <c r="K317" s="37">
        <f>SQRT(K316^2+L316^2+M316^2)</f>
        <v>262.18988560964743</v>
      </c>
      <c r="L317" s="5"/>
      <c r="M317" s="5"/>
      <c r="N317" s="4"/>
      <c r="O317" s="5"/>
      <c r="P317" s="5"/>
      <c r="Q317" s="6"/>
    </row>
    <row r="318" spans="1:17" x14ac:dyDescent="0.25">
      <c r="A318" s="1">
        <f>A315</f>
        <v>43300</v>
      </c>
      <c r="B318" s="2"/>
      <c r="C318" s="2" t="s">
        <v>140</v>
      </c>
      <c r="D318" s="21">
        <v>989.97</v>
      </c>
      <c r="E318" s="22">
        <v>1698.05</v>
      </c>
      <c r="F318" s="22">
        <v>40.950000000000003</v>
      </c>
      <c r="G318" s="23">
        <v>-134.88200000000001</v>
      </c>
      <c r="H318" s="22">
        <v>0.17</v>
      </c>
      <c r="I318" s="22">
        <v>8.2000000000000003E-2</v>
      </c>
      <c r="J318" s="24">
        <v>0.04</v>
      </c>
      <c r="K318" s="2">
        <v>-258.51</v>
      </c>
      <c r="L318" s="2">
        <v>-48.28</v>
      </c>
      <c r="M318" s="2">
        <v>-36.75</v>
      </c>
      <c r="N318" s="13">
        <v>0</v>
      </c>
      <c r="O318" s="2">
        <v>0</v>
      </c>
      <c r="P318" s="2">
        <v>0</v>
      </c>
      <c r="Q318" s="3">
        <v>0.01</v>
      </c>
    </row>
    <row r="319" spans="1:17" x14ac:dyDescent="0.25">
      <c r="A319" s="4"/>
      <c r="B319" s="5"/>
      <c r="C319" s="58" t="s">
        <v>142</v>
      </c>
      <c r="D319" s="25">
        <f>$D$1-D318</f>
        <v>0.44799999999997908</v>
      </c>
      <c r="E319" s="5">
        <f>$E$1-E318</f>
        <v>-0.40200000000004366</v>
      </c>
      <c r="F319" s="5">
        <f>$F$1-F318</f>
        <v>-0.51300000000000523</v>
      </c>
      <c r="G319" s="4">
        <f>$G$1-G318</f>
        <v>-7.6999999999998181E-2</v>
      </c>
      <c r="H319" s="5">
        <f>$H$1-H318</f>
        <v>-4.7000000000000014E-2</v>
      </c>
      <c r="I319" s="5">
        <f>$I$1-I318</f>
        <v>2.5999999999999995E-2</v>
      </c>
      <c r="J319" s="26"/>
      <c r="K319" s="5">
        <f>$K$1-K318</f>
        <v>503.88</v>
      </c>
      <c r="L319" s="5">
        <f>$L$1-L318</f>
        <v>48.56</v>
      </c>
      <c r="M319" s="5">
        <f>$M$1-M318</f>
        <v>129.14600000000002</v>
      </c>
      <c r="N319" s="4">
        <f>$N$1-N318</f>
        <v>0.15</v>
      </c>
      <c r="O319" s="5">
        <f>$O$1-O318</f>
        <v>90.01</v>
      </c>
      <c r="P319" s="5">
        <f>$P$1-P318</f>
        <v>0.2</v>
      </c>
      <c r="Q319" s="6"/>
    </row>
    <row r="320" spans="1:17" x14ac:dyDescent="0.25">
      <c r="A320" s="4"/>
      <c r="B320" s="5"/>
      <c r="C320" s="58" t="s">
        <v>147</v>
      </c>
      <c r="D320" s="37">
        <f>SQRT(D319^2+E319^2+F319^2)</f>
        <v>0.79087103879205356</v>
      </c>
      <c r="E320" s="5"/>
      <c r="F320" s="5"/>
      <c r="G320" s="131">
        <f>G319*PI()/180*1000</f>
        <v>-1.3439035240356021</v>
      </c>
      <c r="H320" s="132">
        <f>H319*PI()/180*1000</f>
        <v>-0.82030474843733503</v>
      </c>
      <c r="I320" s="132">
        <f>I319*PI()/180*1000</f>
        <v>0.45378560551852559</v>
      </c>
      <c r="J320" s="130">
        <f>SQRT(G320^2+H320^2+I320^2)</f>
        <v>1.6385658174147186</v>
      </c>
      <c r="K320" s="37">
        <f>SQRT(K319^2+L319^2+M319^2)</f>
        <v>522.42876769565441</v>
      </c>
      <c r="L320" s="5"/>
      <c r="M320" s="5"/>
      <c r="N320" s="4"/>
      <c r="O320" s="5"/>
      <c r="P320" s="5"/>
      <c r="Q320" s="6"/>
    </row>
    <row r="321" spans="1:17" ht="15.75" thickBot="1" x14ac:dyDescent="0.3">
      <c r="A321" s="187"/>
      <c r="B321" s="5"/>
      <c r="C321" s="5"/>
      <c r="D321" s="103" t="s">
        <v>151</v>
      </c>
      <c r="E321" s="5"/>
      <c r="F321" s="5"/>
      <c r="G321" s="5"/>
      <c r="H321" s="5"/>
      <c r="I321" s="5"/>
      <c r="J321" s="5"/>
      <c r="K321" s="41"/>
      <c r="L321" s="5"/>
      <c r="M321" s="5"/>
      <c r="N321" s="5"/>
      <c r="O321" s="5"/>
      <c r="P321" s="5"/>
      <c r="Q321" s="5"/>
    </row>
    <row r="322" spans="1:17" ht="15.75" thickTop="1" x14ac:dyDescent="0.25">
      <c r="A322" s="5" t="s">
        <v>341</v>
      </c>
      <c r="B322" s="5"/>
      <c r="C322" s="5"/>
      <c r="D322" s="41"/>
      <c r="E322" s="5"/>
      <c r="F322" s="5"/>
      <c r="G322" s="137"/>
      <c r="H322" s="5"/>
      <c r="I322" s="5"/>
      <c r="J322" s="5"/>
      <c r="K322" s="41"/>
      <c r="L322" s="5"/>
      <c r="M322" s="5"/>
      <c r="N322" s="5"/>
      <c r="O322" s="5"/>
      <c r="P322" s="5"/>
      <c r="Q322" s="5"/>
    </row>
    <row r="324" spans="1:17" x14ac:dyDescent="0.25">
      <c r="A324" s="93" t="s">
        <v>132</v>
      </c>
      <c r="B324" t="s">
        <v>143</v>
      </c>
      <c r="L324">
        <v>-2.7531E-2</v>
      </c>
      <c r="M324">
        <v>-0.38525399999999999</v>
      </c>
      <c r="N324">
        <v>-148.23366300000001</v>
      </c>
    </row>
    <row r="325" spans="1:17" x14ac:dyDescent="0.25">
      <c r="L325">
        <v>-5.6395000000000001E-2</v>
      </c>
      <c r="M325">
        <v>-0.19318299999999999</v>
      </c>
      <c r="N325">
        <v>-13.340197</v>
      </c>
    </row>
    <row r="327" spans="1:17" x14ac:dyDescent="0.25">
      <c r="L327" s="100" t="s">
        <v>95</v>
      </c>
      <c r="M327" s="100">
        <v>-2.7531E-2</v>
      </c>
      <c r="N327" s="100">
        <v>-0.38525399999999999</v>
      </c>
      <c r="O327" s="100">
        <v>-148.23366300000001</v>
      </c>
    </row>
    <row r="328" spans="1:17" x14ac:dyDescent="0.25">
      <c r="L328" s="100" t="s">
        <v>96</v>
      </c>
      <c r="M328" s="100">
        <v>-5.6395000000000001E-2</v>
      </c>
      <c r="N328" s="100">
        <v>-0.19318299999999999</v>
      </c>
      <c r="O328" s="100">
        <v>-13.340197</v>
      </c>
    </row>
    <row r="329" spans="1:17" x14ac:dyDescent="0.25">
      <c r="L329" s="100" t="s">
        <v>97</v>
      </c>
      <c r="M329" s="100">
        <f>M327-M328</f>
        <v>2.8864000000000001E-2</v>
      </c>
      <c r="N329" s="100">
        <f t="shared" ref="N329:O329" si="35">N327-N328</f>
        <v>-0.19207099999999999</v>
      </c>
      <c r="O329" s="100">
        <f t="shared" si="35"/>
        <v>-134.89346600000002</v>
      </c>
    </row>
    <row r="330" spans="1:17" x14ac:dyDescent="0.25">
      <c r="L330" s="100"/>
      <c r="M330" s="100" t="s">
        <v>99</v>
      </c>
      <c r="N330" s="100" t="s">
        <v>100</v>
      </c>
      <c r="O330" s="100" t="s">
        <v>98</v>
      </c>
    </row>
    <row r="335" spans="1:17" x14ac:dyDescent="0.25">
      <c r="A335" s="5"/>
      <c r="B335" s="5"/>
    </row>
    <row r="336" spans="1:17" x14ac:dyDescent="0.25">
      <c r="A336" s="5"/>
      <c r="B336" s="5"/>
    </row>
    <row r="337" spans="1:10" x14ac:dyDescent="0.25">
      <c r="A337" s="5"/>
      <c r="B337" s="5"/>
    </row>
    <row r="338" spans="1:10" x14ac:dyDescent="0.25">
      <c r="A338" s="5"/>
      <c r="B338" s="5"/>
    </row>
    <row r="348" spans="1:10" x14ac:dyDescent="0.25">
      <c r="A348" s="42" t="s">
        <v>311</v>
      </c>
    </row>
    <row r="349" spans="1:10" x14ac:dyDescent="0.25">
      <c r="A349" s="58" t="s">
        <v>293</v>
      </c>
      <c r="B349" s="58">
        <v>1</v>
      </c>
      <c r="C349" s="58" t="s">
        <v>294</v>
      </c>
      <c r="D349" s="58">
        <v>-571.99</v>
      </c>
      <c r="E349" s="58">
        <v>-2166.16</v>
      </c>
      <c r="F349" s="58">
        <v>-327.17</v>
      </c>
    </row>
    <row r="350" spans="1:10" x14ac:dyDescent="0.25">
      <c r="A350" s="58" t="s">
        <v>293</v>
      </c>
      <c r="B350" s="58">
        <v>2</v>
      </c>
      <c r="C350" s="58" t="s">
        <v>294</v>
      </c>
      <c r="D350" s="58">
        <v>-601.4</v>
      </c>
      <c r="E350" s="58">
        <v>-1162.52</v>
      </c>
      <c r="F350" s="58">
        <v>966.7</v>
      </c>
      <c r="G350" s="5"/>
      <c r="H350" s="5"/>
      <c r="I350" s="5"/>
      <c r="J350" s="5"/>
    </row>
    <row r="351" spans="1:10" x14ac:dyDescent="0.25">
      <c r="A351" s="58" t="s">
        <v>293</v>
      </c>
      <c r="B351" s="58">
        <v>3</v>
      </c>
      <c r="C351" s="58" t="s">
        <v>294</v>
      </c>
      <c r="D351" s="58">
        <v>126.61</v>
      </c>
      <c r="E351" s="58">
        <v>-23.73</v>
      </c>
      <c r="F351" s="58">
        <v>-233.96</v>
      </c>
      <c r="G351" s="5"/>
      <c r="H351" s="5"/>
      <c r="I351" s="5"/>
      <c r="J351" s="5"/>
    </row>
    <row r="352" spans="1:10" ht="15.75" x14ac:dyDescent="0.25">
      <c r="A352" s="58" t="s">
        <v>293</v>
      </c>
      <c r="B352" s="58">
        <v>4</v>
      </c>
      <c r="C352" s="58" t="s">
        <v>294</v>
      </c>
      <c r="D352" s="58">
        <v>127.91</v>
      </c>
      <c r="E352" s="58">
        <v>3327.94</v>
      </c>
      <c r="F352" s="58">
        <v>653.4</v>
      </c>
      <c r="G352" s="139"/>
      <c r="H352" s="139"/>
      <c r="I352" s="139"/>
      <c r="J352" s="5"/>
    </row>
    <row r="353" spans="1:10" ht="15.75" x14ac:dyDescent="0.25">
      <c r="A353" s="58" t="s">
        <v>293</v>
      </c>
      <c r="B353" s="58">
        <v>5</v>
      </c>
      <c r="C353" s="58" t="s">
        <v>294</v>
      </c>
      <c r="D353" s="58">
        <v>1034.92</v>
      </c>
      <c r="E353" s="58">
        <v>950.29</v>
      </c>
      <c r="F353" s="58">
        <v>-669.34</v>
      </c>
      <c r="G353" s="140"/>
      <c r="H353" s="140"/>
      <c r="I353" s="140"/>
      <c r="J353" s="5"/>
    </row>
    <row r="354" spans="1:10" ht="15.75" x14ac:dyDescent="0.25">
      <c r="A354" s="58" t="s">
        <v>293</v>
      </c>
      <c r="B354" s="58">
        <v>6</v>
      </c>
      <c r="C354" s="58" t="s">
        <v>294</v>
      </c>
      <c r="D354" s="58">
        <v>1550.55</v>
      </c>
      <c r="E354" s="58">
        <v>844.91</v>
      </c>
      <c r="F354" s="58">
        <v>-3.84</v>
      </c>
      <c r="G354" s="139"/>
      <c r="H354" s="140"/>
      <c r="I354" s="140"/>
      <c r="J354" s="5"/>
    </row>
    <row r="355" spans="1:10" ht="15.75" x14ac:dyDescent="0.25">
      <c r="A355" s="58" t="s">
        <v>293</v>
      </c>
      <c r="B355" s="58">
        <v>7</v>
      </c>
      <c r="C355" s="58" t="s">
        <v>294</v>
      </c>
      <c r="D355" s="58">
        <v>1478.8</v>
      </c>
      <c r="E355" s="58">
        <v>194.51</v>
      </c>
      <c r="F355" s="58">
        <v>-458.21</v>
      </c>
      <c r="G355" s="141"/>
      <c r="H355" s="141"/>
      <c r="I355" s="141"/>
      <c r="J355" s="5"/>
    </row>
    <row r="356" spans="1:10" x14ac:dyDescent="0.25">
      <c r="A356" s="58" t="s">
        <v>293</v>
      </c>
      <c r="B356" s="58">
        <v>8</v>
      </c>
      <c r="C356" s="58" t="s">
        <v>294</v>
      </c>
      <c r="D356" s="58">
        <v>3639.09</v>
      </c>
      <c r="E356" s="58">
        <v>-1063.6400000000001</v>
      </c>
      <c r="F356" s="58">
        <v>982.21</v>
      </c>
      <c r="G356" s="5"/>
      <c r="H356" s="5"/>
      <c r="I356" s="5"/>
      <c r="J356" s="5"/>
    </row>
    <row r="357" spans="1:10" x14ac:dyDescent="0.25">
      <c r="A357" s="143"/>
      <c r="B357" s="143"/>
      <c r="C357" s="144"/>
      <c r="D357" s="144"/>
      <c r="E357" s="144"/>
      <c r="F357" s="144"/>
      <c r="G357" s="5"/>
      <c r="H357" s="5"/>
      <c r="I357" s="5"/>
      <c r="J357" s="5"/>
    </row>
    <row r="358" spans="1:10" x14ac:dyDescent="0.25">
      <c r="A358" s="143"/>
      <c r="B358" s="143"/>
      <c r="C358" s="144"/>
      <c r="D358" s="144"/>
      <c r="E358" s="144"/>
      <c r="F358" s="144"/>
      <c r="G358" s="5"/>
      <c r="H358" s="5"/>
      <c r="I358" s="5"/>
      <c r="J358" s="5"/>
    </row>
    <row r="359" spans="1:10" ht="15.75" x14ac:dyDescent="0.25">
      <c r="A359" s="143"/>
      <c r="B359" s="143"/>
      <c r="C359" s="144"/>
      <c r="D359" s="144"/>
      <c r="E359" s="144"/>
      <c r="F359" s="145"/>
      <c r="G359" s="142"/>
      <c r="H359" s="142"/>
      <c r="I359" s="5"/>
      <c r="J359" s="5"/>
    </row>
    <row r="360" spans="1:10" ht="15.75" x14ac:dyDescent="0.25">
      <c r="C360" s="5"/>
      <c r="D360" s="5"/>
      <c r="E360" s="5"/>
      <c r="F360" s="142"/>
      <c r="G360" s="142"/>
      <c r="H360" s="142"/>
      <c r="I360" s="5"/>
      <c r="J360" s="5"/>
    </row>
    <row r="361" spans="1:10" x14ac:dyDescent="0.25">
      <c r="C361" s="5"/>
      <c r="D361" s="5"/>
      <c r="E361" s="5"/>
      <c r="F361" s="5"/>
      <c r="G361" s="5"/>
      <c r="H361" s="5"/>
      <c r="I361" s="5"/>
      <c r="J361" s="5"/>
    </row>
    <row r="362" spans="1:10" x14ac:dyDescent="0.25">
      <c r="C362" s="5"/>
      <c r="D362" s="5"/>
      <c r="E362" s="5"/>
      <c r="F362" s="5"/>
      <c r="G362" s="5"/>
      <c r="H362" s="5"/>
      <c r="I362" s="5"/>
      <c r="J362" s="5"/>
    </row>
    <row r="363" spans="1:10" x14ac:dyDescent="0.25">
      <c r="C363" s="5"/>
      <c r="D363" s="5"/>
      <c r="E363" s="5"/>
      <c r="F363" s="5"/>
      <c r="G363" s="5"/>
      <c r="H363" s="5"/>
      <c r="I363" s="5"/>
      <c r="J363" s="5"/>
    </row>
  </sheetData>
  <conditionalFormatting sqref="C147:E149 C151:E161 D150:E150 E163">
    <cfRule type="cellIs" dxfId="11" priority="3" operator="lessThan">
      <formula>-0.2</formula>
    </cfRule>
    <cfRule type="cellIs" dxfId="10" priority="4" operator="greaterThan">
      <formula>0.2</formula>
    </cfRule>
  </conditionalFormatting>
  <conditionalFormatting sqref="Z5:AA49">
    <cfRule type="cellIs" dxfId="9" priority="1" operator="lessThan">
      <formula>-100</formula>
    </cfRule>
    <cfRule type="cellIs" dxfId="8" priority="2" operator="greaterThan">
      <formula>1100</formula>
    </cfRule>
  </conditionalFormatting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8310-E157-4721-9D74-7F92F218C921}">
  <dimension ref="A1:R51"/>
  <sheetViews>
    <sheetView topLeftCell="A25" zoomScale="85" zoomScaleNormal="85" workbookViewId="0">
      <selection activeCell="M14" sqref="M14"/>
    </sheetView>
  </sheetViews>
  <sheetFormatPr baseColWidth="10" defaultRowHeight="15" x14ac:dyDescent="0.25"/>
  <cols>
    <col min="15" max="15" width="20.42578125" customWidth="1"/>
    <col min="16" max="16" width="25" customWidth="1"/>
    <col min="17" max="17" width="22.7109375" customWidth="1"/>
    <col min="18" max="18" width="25.42578125" customWidth="1"/>
  </cols>
  <sheetData>
    <row r="1" spans="1:18" x14ac:dyDescent="0.25">
      <c r="A1" s="42" t="s">
        <v>1</v>
      </c>
      <c r="B1">
        <v>990.41800000000001</v>
      </c>
      <c r="C1">
        <v>1697.6479999999999</v>
      </c>
      <c r="D1">
        <v>40.436999999999998</v>
      </c>
      <c r="E1">
        <v>-134.959</v>
      </c>
      <c r="F1">
        <v>0.123</v>
      </c>
      <c r="G1">
        <v>0.108</v>
      </c>
      <c r="H1" s="42" t="s">
        <v>164</v>
      </c>
      <c r="I1">
        <v>245.37</v>
      </c>
      <c r="J1">
        <v>0.28000000000000003</v>
      </c>
      <c r="K1">
        <v>92.396000000000001</v>
      </c>
      <c r="L1">
        <v>0.15</v>
      </c>
      <c r="M1">
        <v>90.01</v>
      </c>
      <c r="N1">
        <v>0.2</v>
      </c>
      <c r="P1" t="s">
        <v>423</v>
      </c>
      <c r="Q1" t="s">
        <v>425</v>
      </c>
      <c r="R1" t="s">
        <v>424</v>
      </c>
    </row>
    <row r="2" spans="1:18" x14ac:dyDescent="0.25">
      <c r="I2" s="40"/>
    </row>
    <row r="3" spans="1:18" x14ac:dyDescent="0.25">
      <c r="A3" t="s">
        <v>165</v>
      </c>
    </row>
    <row r="4" spans="1:18" x14ac:dyDescent="0.25">
      <c r="A4">
        <v>3</v>
      </c>
      <c r="B4" s="40" t="s">
        <v>166</v>
      </c>
      <c r="C4" s="40" t="s">
        <v>167</v>
      </c>
      <c r="D4" s="40" t="s">
        <v>168</v>
      </c>
      <c r="E4" s="135">
        <v>-134.86199999999999</v>
      </c>
      <c r="F4" s="40" t="s">
        <v>169</v>
      </c>
      <c r="G4" s="40" t="s">
        <v>170</v>
      </c>
      <c r="H4" s="40"/>
      <c r="I4" s="40" t="s">
        <v>171</v>
      </c>
      <c r="J4" s="40" t="s">
        <v>172</v>
      </c>
      <c r="K4" s="40" t="s">
        <v>173</v>
      </c>
      <c r="P4" s="57">
        <f>SQRT((B4-$B$1)^2+(C4-$C$1)^2+(D4-$D$1)^2)</f>
        <v>1.2014229063906594</v>
      </c>
      <c r="Q4" s="57">
        <f>SQRT(((E4-$E$1)*PI()/180*1000)^2+((F4-$F$1)*PI()/180*1000)^2*((G4-$G$1)*PI()/180*1000)^2)</f>
        <v>1.7381137097439194</v>
      </c>
      <c r="R4" s="57">
        <f>SQRT((I4-$I$1)^2+(J4-$J$1)^2+(K4-$K$1)^2)</f>
        <v>1.1945693784791205</v>
      </c>
    </row>
    <row r="5" spans="1:18" x14ac:dyDescent="0.25">
      <c r="A5">
        <v>4</v>
      </c>
      <c r="B5" s="40" t="s">
        <v>174</v>
      </c>
      <c r="C5" s="40" t="s">
        <v>175</v>
      </c>
      <c r="D5" s="40" t="s">
        <v>176</v>
      </c>
      <c r="E5" s="135">
        <v>-134.88200000000001</v>
      </c>
      <c r="F5" s="40" t="s">
        <v>177</v>
      </c>
      <c r="G5" s="40" t="s">
        <v>178</v>
      </c>
      <c r="H5" s="40"/>
      <c r="I5" s="40" t="s">
        <v>179</v>
      </c>
      <c r="J5" s="40" t="s">
        <v>180</v>
      </c>
      <c r="K5" s="40" t="s">
        <v>181</v>
      </c>
      <c r="P5" s="57">
        <f t="shared" ref="P5:P21" si="0">SQRT((B5-$B$1)^2+(C5-$C$1)^2+(D5-$D$1)^2)</f>
        <v>1.0761770300468225</v>
      </c>
      <c r="Q5" s="57">
        <f t="shared" ref="Q5:Q21" si="1">SQRT(((E5-$E$1)*PI()/180*1000)^2+((F5-$F$1)*PI()/180*1000)^2*((G5-$G$1)*PI()/180*1000)^2)</f>
        <v>1.4816455663272023</v>
      </c>
      <c r="R5" s="57">
        <f t="shared" ref="R5:R21" si="2">SQRT((I5-$I$1)^2+(J5-$J$1)^2+(K5-$K$1)^2)</f>
        <v>0.84834898479339438</v>
      </c>
    </row>
    <row r="6" spans="1:18" x14ac:dyDescent="0.25">
      <c r="A6">
        <v>5</v>
      </c>
      <c r="B6" s="40" t="s">
        <v>182</v>
      </c>
      <c r="C6" s="40" t="s">
        <v>183</v>
      </c>
      <c r="D6" s="40" t="s">
        <v>184</v>
      </c>
      <c r="E6" s="135">
        <v>-134.88399999999999</v>
      </c>
      <c r="F6" s="40" t="s">
        <v>185</v>
      </c>
      <c r="G6" s="40" t="s">
        <v>186</v>
      </c>
      <c r="H6" s="40"/>
      <c r="I6" s="40" t="s">
        <v>187</v>
      </c>
      <c r="J6" s="40" t="s">
        <v>188</v>
      </c>
      <c r="K6" s="40" t="s">
        <v>189</v>
      </c>
      <c r="P6" s="57">
        <f t="shared" si="0"/>
        <v>0.94112539015805519</v>
      </c>
      <c r="Q6" s="57">
        <f t="shared" si="1"/>
        <v>1.3876629057910275</v>
      </c>
      <c r="R6" s="57">
        <f t="shared" si="2"/>
        <v>0.79606281159215475</v>
      </c>
    </row>
    <row r="7" spans="1:18" x14ac:dyDescent="0.25">
      <c r="A7">
        <v>6</v>
      </c>
      <c r="B7" s="40" t="s">
        <v>190</v>
      </c>
      <c r="C7" s="40" t="s">
        <v>191</v>
      </c>
      <c r="D7" s="40" t="s">
        <v>192</v>
      </c>
      <c r="E7" s="135">
        <v>-134.887</v>
      </c>
      <c r="F7" s="40" t="s">
        <v>193</v>
      </c>
      <c r="G7" s="40" t="s">
        <v>186</v>
      </c>
      <c r="H7" s="40"/>
      <c r="I7" s="40" t="s">
        <v>194</v>
      </c>
      <c r="J7" s="40" t="s">
        <v>195</v>
      </c>
      <c r="K7" s="40" t="s">
        <v>196</v>
      </c>
      <c r="P7" s="57">
        <f t="shared" si="0"/>
        <v>0.90280507309176161</v>
      </c>
      <c r="Q7" s="57">
        <f t="shared" si="1"/>
        <v>1.3216466332693102</v>
      </c>
      <c r="R7" s="57">
        <f t="shared" si="2"/>
        <v>0.69160393289801603</v>
      </c>
    </row>
    <row r="8" spans="1:18" x14ac:dyDescent="0.25">
      <c r="A8">
        <v>7</v>
      </c>
      <c r="B8" s="40" t="s">
        <v>182</v>
      </c>
      <c r="C8" s="40" t="s">
        <v>197</v>
      </c>
      <c r="D8" s="40" t="s">
        <v>198</v>
      </c>
      <c r="E8" s="135">
        <v>-134.88800000000001</v>
      </c>
      <c r="F8" s="40" t="s">
        <v>199</v>
      </c>
      <c r="G8" s="40" t="s">
        <v>200</v>
      </c>
      <c r="H8" s="40"/>
      <c r="I8" s="40" t="s">
        <v>194</v>
      </c>
      <c r="J8" s="40" t="s">
        <v>201</v>
      </c>
      <c r="K8" s="40" t="s">
        <v>202</v>
      </c>
      <c r="P8" s="57">
        <f t="shared" si="0"/>
        <v>0.84737063909483146</v>
      </c>
      <c r="Q8" s="57">
        <f t="shared" si="1"/>
        <v>1.2985316753878191</v>
      </c>
      <c r="R8" s="57">
        <f t="shared" si="2"/>
        <v>0.66040593576981288</v>
      </c>
    </row>
    <row r="9" spans="1:18" x14ac:dyDescent="0.25">
      <c r="A9">
        <v>8</v>
      </c>
      <c r="B9" s="40" t="s">
        <v>203</v>
      </c>
      <c r="C9" s="40" t="s">
        <v>204</v>
      </c>
      <c r="D9" s="40" t="s">
        <v>205</v>
      </c>
      <c r="E9" s="135">
        <v>-134.88800000000001</v>
      </c>
      <c r="F9" s="40" t="s">
        <v>199</v>
      </c>
      <c r="G9" s="40" t="s">
        <v>206</v>
      </c>
      <c r="H9" s="40"/>
      <c r="I9" s="40" t="s">
        <v>194</v>
      </c>
      <c r="J9" s="40" t="s">
        <v>201</v>
      </c>
      <c r="K9" s="40" t="s">
        <v>207</v>
      </c>
      <c r="P9" s="57">
        <f t="shared" si="0"/>
        <v>0.85139708714558471</v>
      </c>
      <c r="Q9" s="57">
        <f t="shared" si="1"/>
        <v>1.2941491670818903</v>
      </c>
      <c r="R9" s="57">
        <f t="shared" si="2"/>
        <v>0.64760790606662744</v>
      </c>
    </row>
    <row r="10" spans="1:18" x14ac:dyDescent="0.25">
      <c r="A10">
        <v>9</v>
      </c>
      <c r="B10" s="40" t="s">
        <v>208</v>
      </c>
      <c r="C10" s="40" t="s">
        <v>197</v>
      </c>
      <c r="D10" s="40" t="s">
        <v>209</v>
      </c>
      <c r="E10" s="135">
        <v>-134.887</v>
      </c>
      <c r="F10" s="40" t="s">
        <v>210</v>
      </c>
      <c r="G10" s="40" t="s">
        <v>206</v>
      </c>
      <c r="H10" s="40"/>
      <c r="I10" s="40" t="s">
        <v>211</v>
      </c>
      <c r="J10" s="40" t="s">
        <v>212</v>
      </c>
      <c r="K10" s="40" t="s">
        <v>213</v>
      </c>
      <c r="P10" s="57">
        <f t="shared" si="0"/>
        <v>0.87616037344771713</v>
      </c>
      <c r="Q10" s="57">
        <f t="shared" si="1"/>
        <v>1.3130589661580432</v>
      </c>
      <c r="R10" s="57">
        <f t="shared" si="2"/>
        <v>0.654305738932493</v>
      </c>
    </row>
    <row r="11" spans="1:18" x14ac:dyDescent="0.25">
      <c r="A11">
        <v>10</v>
      </c>
      <c r="B11" s="40" t="s">
        <v>208</v>
      </c>
      <c r="C11" s="40" t="s">
        <v>214</v>
      </c>
      <c r="D11" s="40" t="s">
        <v>215</v>
      </c>
      <c r="E11" s="135">
        <v>-134.887</v>
      </c>
      <c r="F11" s="40" t="s">
        <v>199</v>
      </c>
      <c r="G11" s="40" t="s">
        <v>216</v>
      </c>
      <c r="H11" s="40"/>
      <c r="I11" s="40" t="s">
        <v>194</v>
      </c>
      <c r="J11" s="40" t="s">
        <v>212</v>
      </c>
      <c r="K11" s="40" t="s">
        <v>217</v>
      </c>
      <c r="P11" s="57">
        <f t="shared" si="0"/>
        <v>0.8885701998154274</v>
      </c>
      <c r="Q11" s="57">
        <f t="shared" si="1"/>
        <v>1.3196790649370758</v>
      </c>
      <c r="R11" s="57">
        <f t="shared" si="2"/>
        <v>0.65328095028096789</v>
      </c>
    </row>
    <row r="12" spans="1:18" x14ac:dyDescent="0.25">
      <c r="A12">
        <v>11</v>
      </c>
      <c r="B12" s="40" t="s">
        <v>218</v>
      </c>
      <c r="C12" s="40" t="s">
        <v>219</v>
      </c>
      <c r="D12" s="40" t="s">
        <v>220</v>
      </c>
      <c r="E12" s="135">
        <v>-134.886</v>
      </c>
      <c r="F12" s="40" t="s">
        <v>221</v>
      </c>
      <c r="G12" s="40" t="s">
        <v>200</v>
      </c>
      <c r="H12" s="40"/>
      <c r="I12" s="40" t="s">
        <v>222</v>
      </c>
      <c r="J12" s="40" t="s">
        <v>223</v>
      </c>
      <c r="K12" s="40" t="s">
        <v>224</v>
      </c>
      <c r="P12" s="57">
        <f t="shared" si="0"/>
        <v>0.83126229314223599</v>
      </c>
      <c r="Q12" s="57">
        <f t="shared" si="1"/>
        <v>1.3208883991982379</v>
      </c>
      <c r="R12" s="57">
        <f t="shared" si="2"/>
        <v>0.66336716831631271</v>
      </c>
    </row>
    <row r="13" spans="1:18" x14ac:dyDescent="0.25">
      <c r="A13">
        <v>12</v>
      </c>
      <c r="B13" s="40" t="s">
        <v>225</v>
      </c>
      <c r="C13" s="40" t="s">
        <v>226</v>
      </c>
      <c r="D13" s="40" t="s">
        <v>220</v>
      </c>
      <c r="E13" s="135">
        <v>-134.886</v>
      </c>
      <c r="F13" s="40" t="s">
        <v>227</v>
      </c>
      <c r="G13" s="40" t="s">
        <v>200</v>
      </c>
      <c r="H13" s="40"/>
      <c r="I13" s="40" t="s">
        <v>228</v>
      </c>
      <c r="J13" s="40" t="s">
        <v>229</v>
      </c>
      <c r="K13" s="40" t="s">
        <v>230</v>
      </c>
      <c r="M13" s="143"/>
      <c r="P13" s="57">
        <f t="shared" si="0"/>
        <v>0.82609745187846861</v>
      </c>
      <c r="Q13" s="57">
        <f t="shared" si="1"/>
        <v>1.3273547751661126</v>
      </c>
      <c r="R13" s="57">
        <f t="shared" si="2"/>
        <v>0.6756744778367717</v>
      </c>
    </row>
    <row r="14" spans="1:18" x14ac:dyDescent="0.25">
      <c r="A14">
        <v>13</v>
      </c>
      <c r="B14" s="40" t="s">
        <v>231</v>
      </c>
      <c r="C14" s="40" t="s">
        <v>232</v>
      </c>
      <c r="D14" s="40" t="s">
        <v>220</v>
      </c>
      <c r="E14" s="135">
        <v>-134.88499999999999</v>
      </c>
      <c r="F14" s="40" t="s">
        <v>227</v>
      </c>
      <c r="G14" s="40" t="s">
        <v>186</v>
      </c>
      <c r="H14" s="40"/>
      <c r="I14" s="40" t="s">
        <v>222</v>
      </c>
      <c r="J14" s="40" t="s">
        <v>229</v>
      </c>
      <c r="K14" s="40" t="s">
        <v>224</v>
      </c>
      <c r="M14" s="143"/>
      <c r="P14" s="57">
        <f t="shared" si="0"/>
        <v>0.84627241476965953</v>
      </c>
      <c r="Q14" s="57">
        <f t="shared" si="1"/>
        <v>1.3523265059145699</v>
      </c>
      <c r="R14" s="57">
        <f t="shared" si="2"/>
        <v>0.66276390969937637</v>
      </c>
    </row>
    <row r="15" spans="1:18" x14ac:dyDescent="0.25">
      <c r="A15">
        <v>14</v>
      </c>
      <c r="B15" s="40" t="s">
        <v>231</v>
      </c>
      <c r="C15" s="40" t="s">
        <v>204</v>
      </c>
      <c r="D15" s="40" t="s">
        <v>220</v>
      </c>
      <c r="E15" s="135">
        <v>-134.88399999999999</v>
      </c>
      <c r="F15" s="40" t="s">
        <v>199</v>
      </c>
      <c r="G15" s="40" t="s">
        <v>200</v>
      </c>
      <c r="H15" s="40"/>
      <c r="I15" s="40" t="s">
        <v>233</v>
      </c>
      <c r="J15" s="40" t="s">
        <v>223</v>
      </c>
      <c r="K15" s="40" t="s">
        <v>213</v>
      </c>
      <c r="P15" s="57">
        <f t="shared" si="0"/>
        <v>0.87746054042334221</v>
      </c>
      <c r="Q15" s="57">
        <f t="shared" si="1"/>
        <v>1.3653135482891106</v>
      </c>
      <c r="R15" s="57">
        <f t="shared" si="2"/>
        <v>0.69850984245034797</v>
      </c>
    </row>
    <row r="16" spans="1:18" x14ac:dyDescent="0.25">
      <c r="A16">
        <v>15</v>
      </c>
      <c r="B16" s="40" t="s">
        <v>234</v>
      </c>
      <c r="C16" s="40" t="s">
        <v>235</v>
      </c>
      <c r="D16" s="40" t="s">
        <v>198</v>
      </c>
      <c r="E16" s="135">
        <v>-134.88399999999999</v>
      </c>
      <c r="F16" s="40" t="s">
        <v>193</v>
      </c>
      <c r="G16" s="40" t="s">
        <v>200</v>
      </c>
      <c r="H16" s="40"/>
      <c r="I16" s="40" t="s">
        <v>187</v>
      </c>
      <c r="J16" s="40" t="s">
        <v>236</v>
      </c>
      <c r="K16" s="40" t="s">
        <v>213</v>
      </c>
      <c r="P16" s="57">
        <f t="shared" si="0"/>
        <v>0.86741973692096397</v>
      </c>
      <c r="Q16" s="57">
        <f t="shared" si="1"/>
        <v>1.363083468845371</v>
      </c>
      <c r="R16" s="57">
        <f t="shared" si="2"/>
        <v>0.72616527044469137</v>
      </c>
    </row>
    <row r="17" spans="1:18" x14ac:dyDescent="0.25">
      <c r="A17">
        <v>16</v>
      </c>
      <c r="B17" s="40" t="s">
        <v>237</v>
      </c>
      <c r="C17" s="40" t="s">
        <v>235</v>
      </c>
      <c r="D17" s="40" t="s">
        <v>220</v>
      </c>
      <c r="E17" s="135">
        <v>-134.88399999999999</v>
      </c>
      <c r="F17" s="40" t="s">
        <v>199</v>
      </c>
      <c r="G17" s="40" t="s">
        <v>200</v>
      </c>
      <c r="H17" s="40"/>
      <c r="I17" s="40" t="s">
        <v>238</v>
      </c>
      <c r="J17" s="40" t="s">
        <v>229</v>
      </c>
      <c r="K17" s="40" t="s">
        <v>213</v>
      </c>
      <c r="P17" s="57">
        <f t="shared" si="0"/>
        <v>0.86655467225100158</v>
      </c>
      <c r="Q17" s="57">
        <f t="shared" si="1"/>
        <v>1.3653135482891106</v>
      </c>
      <c r="R17" s="57">
        <f t="shared" si="2"/>
        <v>0.71660030700522714</v>
      </c>
    </row>
    <row r="18" spans="1:18" x14ac:dyDescent="0.25">
      <c r="A18">
        <v>17</v>
      </c>
      <c r="B18" s="40" t="s">
        <v>237</v>
      </c>
      <c r="C18" s="40" t="s">
        <v>239</v>
      </c>
      <c r="D18" s="40" t="s">
        <v>198</v>
      </c>
      <c r="E18" s="135">
        <v>-134.88499999999999</v>
      </c>
      <c r="F18" s="40" t="s">
        <v>193</v>
      </c>
      <c r="G18" s="40" t="s">
        <v>200</v>
      </c>
      <c r="H18" s="40"/>
      <c r="I18" s="40" t="s">
        <v>238</v>
      </c>
      <c r="J18" s="40" t="s">
        <v>240</v>
      </c>
      <c r="K18" s="40" t="s">
        <v>230</v>
      </c>
      <c r="P18" s="57">
        <f t="shared" si="0"/>
        <v>0.8547613702081146</v>
      </c>
      <c r="Q18" s="57">
        <f t="shared" si="1"/>
        <v>1.3463315147061976</v>
      </c>
      <c r="R18" s="57">
        <f t="shared" si="2"/>
        <v>0.71304698302424863</v>
      </c>
    </row>
    <row r="19" spans="1:18" x14ac:dyDescent="0.25">
      <c r="A19">
        <v>18</v>
      </c>
      <c r="B19" s="40" t="s">
        <v>237</v>
      </c>
      <c r="C19" s="40" t="s">
        <v>235</v>
      </c>
      <c r="D19" s="40" t="s">
        <v>205</v>
      </c>
      <c r="E19" s="135">
        <v>-134.88499999999999</v>
      </c>
      <c r="F19" s="40" t="s">
        <v>193</v>
      </c>
      <c r="G19" s="40" t="s">
        <v>200</v>
      </c>
      <c r="H19" s="40"/>
      <c r="I19" s="40" t="s">
        <v>238</v>
      </c>
      <c r="J19" s="40" t="s">
        <v>229</v>
      </c>
      <c r="K19" s="40" t="s">
        <v>230</v>
      </c>
      <c r="P19" s="57">
        <f t="shared" si="0"/>
        <v>0.87067617401651654</v>
      </c>
      <c r="Q19" s="57">
        <f t="shared" si="1"/>
        <v>1.3463315147061976</v>
      </c>
      <c r="R19" s="57">
        <f t="shared" si="2"/>
        <v>0.71311710118323701</v>
      </c>
    </row>
    <row r="20" spans="1:18" x14ac:dyDescent="0.25">
      <c r="A20">
        <v>19</v>
      </c>
      <c r="B20" s="40" t="s">
        <v>237</v>
      </c>
      <c r="C20" s="40" t="s">
        <v>239</v>
      </c>
      <c r="D20" s="40" t="s">
        <v>220</v>
      </c>
      <c r="E20" s="135">
        <v>-134.88399999999999</v>
      </c>
      <c r="F20" s="40" t="s">
        <v>193</v>
      </c>
      <c r="G20" s="40" t="s">
        <v>200</v>
      </c>
      <c r="H20" s="40"/>
      <c r="I20" s="40" t="s">
        <v>187</v>
      </c>
      <c r="J20" s="40" t="s">
        <v>229</v>
      </c>
      <c r="K20" s="40" t="s">
        <v>224</v>
      </c>
      <c r="P20" s="57">
        <f t="shared" si="0"/>
        <v>0.85882303182905617</v>
      </c>
      <c r="Q20" s="57">
        <f t="shared" si="1"/>
        <v>1.363083468845371</v>
      </c>
      <c r="R20" s="57">
        <f t="shared" si="2"/>
        <v>0.7192051167782435</v>
      </c>
    </row>
    <row r="21" spans="1:18" x14ac:dyDescent="0.25">
      <c r="A21">
        <v>20</v>
      </c>
      <c r="B21" s="40" t="s">
        <v>237</v>
      </c>
      <c r="C21" s="40" t="s">
        <v>239</v>
      </c>
      <c r="D21" s="40" t="s">
        <v>220</v>
      </c>
      <c r="E21" s="135">
        <v>-134.88399999999999</v>
      </c>
      <c r="F21" s="40" t="s">
        <v>193</v>
      </c>
      <c r="G21" s="40" t="s">
        <v>200</v>
      </c>
      <c r="H21" s="40"/>
      <c r="I21" s="40" t="s">
        <v>187</v>
      </c>
      <c r="J21" s="40" t="s">
        <v>229</v>
      </c>
      <c r="K21" s="40" t="s">
        <v>224</v>
      </c>
      <c r="P21" s="57">
        <f t="shared" si="0"/>
        <v>0.85882303182905617</v>
      </c>
      <c r="Q21" s="57">
        <f t="shared" si="1"/>
        <v>1.363083468845371</v>
      </c>
      <c r="R21" s="57">
        <f t="shared" si="2"/>
        <v>0.7192051167782435</v>
      </c>
    </row>
    <row r="22" spans="1:18" x14ac:dyDescent="0.25">
      <c r="A22">
        <v>21</v>
      </c>
      <c r="B22" s="134">
        <v>990</v>
      </c>
      <c r="C22" s="134">
        <v>1698.32</v>
      </c>
      <c r="D22" s="134">
        <v>40.79</v>
      </c>
      <c r="E22" s="134">
        <v>-134.88399999999999</v>
      </c>
      <c r="F22" s="134">
        <v>0.17100000000000001</v>
      </c>
      <c r="G22" s="134">
        <v>8.2000000000000003E-2</v>
      </c>
      <c r="H22" s="134"/>
      <c r="I22" s="134">
        <v>246.04</v>
      </c>
      <c r="J22" s="134">
        <v>0.28999999999999998</v>
      </c>
      <c r="K22" s="134">
        <v>92.63</v>
      </c>
      <c r="P22" s="57">
        <f t="shared" ref="P22:P25" si="3">SQRT((B22-$B$1)^2+(C22-$C$1)^2+(D22-$D$1)^2)</f>
        <v>0.86655467225100158</v>
      </c>
      <c r="Q22" s="57">
        <f t="shared" ref="Q22:Q25" si="4">SQRT(((E22-$E$1)*PI()/180*1000)^2+((F22-$F$1)*PI()/180*1000)^2*((G22-$G$1)*PI()/180*1000)^2)</f>
        <v>1.363083468845371</v>
      </c>
      <c r="R22" s="57">
        <f t="shared" ref="R22:R25" si="5">SQRT((I22-$I$1)^2+(J22-$J$1)^2+(K22-$K$1)^2)</f>
        <v>0.70975770513604197</v>
      </c>
    </row>
    <row r="23" spans="1:18" x14ac:dyDescent="0.25">
      <c r="A23">
        <v>22</v>
      </c>
      <c r="B23" s="134">
        <v>990</v>
      </c>
      <c r="C23" s="134">
        <v>1698.32</v>
      </c>
      <c r="D23" s="134">
        <v>40.79</v>
      </c>
      <c r="E23" s="134">
        <v>-134.88399999999999</v>
      </c>
      <c r="F23" s="134">
        <v>0.17100000000000001</v>
      </c>
      <c r="G23" s="134">
        <v>8.2000000000000003E-2</v>
      </c>
      <c r="H23" s="134"/>
      <c r="I23" s="134">
        <v>246.04</v>
      </c>
      <c r="J23" s="134">
        <v>0.28999999999999998</v>
      </c>
      <c r="K23" s="134">
        <v>92.63</v>
      </c>
      <c r="P23" s="57">
        <f t="shared" si="3"/>
        <v>0.86655467225100158</v>
      </c>
      <c r="Q23" s="57">
        <f t="shared" si="4"/>
        <v>1.363083468845371</v>
      </c>
      <c r="R23" s="57">
        <f t="shared" si="5"/>
        <v>0.70975770513604197</v>
      </c>
    </row>
    <row r="24" spans="1:18" x14ac:dyDescent="0.25">
      <c r="A24">
        <v>23</v>
      </c>
      <c r="B24" s="134">
        <v>990.01</v>
      </c>
      <c r="C24" s="134">
        <v>1698.35</v>
      </c>
      <c r="D24" s="134">
        <v>40.799999999999997</v>
      </c>
      <c r="E24" s="134">
        <v>-134.88300000000001</v>
      </c>
      <c r="F24" s="134">
        <v>0.17299999999999999</v>
      </c>
      <c r="G24" s="134">
        <v>8.2000000000000003E-2</v>
      </c>
      <c r="H24" s="134"/>
      <c r="I24" s="134">
        <v>246.05</v>
      </c>
      <c r="J24" s="134">
        <v>0.28999999999999998</v>
      </c>
      <c r="K24" s="134">
        <v>92.64</v>
      </c>
      <c r="P24" s="57">
        <f t="shared" si="3"/>
        <v>0.88940260849629271</v>
      </c>
      <c r="Q24" s="57">
        <f t="shared" si="4"/>
        <v>1.3843006581328778</v>
      </c>
      <c r="R24" s="57">
        <f t="shared" si="5"/>
        <v>0.72252058794196938</v>
      </c>
    </row>
    <row r="25" spans="1:18" x14ac:dyDescent="0.25">
      <c r="A25">
        <v>24</v>
      </c>
      <c r="B25" s="134">
        <v>990.01</v>
      </c>
      <c r="C25" s="134">
        <v>1698.35</v>
      </c>
      <c r="D25" s="134">
        <v>40.81</v>
      </c>
      <c r="E25" s="134">
        <v>-134.88300000000001</v>
      </c>
      <c r="F25" s="134">
        <v>0.17299999999999999</v>
      </c>
      <c r="G25" s="134">
        <v>8.2000000000000003E-2</v>
      </c>
      <c r="H25" s="134"/>
      <c r="I25" s="134">
        <v>246.05</v>
      </c>
      <c r="J25" s="134">
        <v>0.3</v>
      </c>
      <c r="K25" s="134">
        <v>92.64</v>
      </c>
      <c r="P25" s="57">
        <f t="shared" si="3"/>
        <v>0.89353063741542382</v>
      </c>
      <c r="Q25" s="57">
        <f t="shared" si="4"/>
        <v>1.3843006581328778</v>
      </c>
      <c r="R25" s="57">
        <f t="shared" si="5"/>
        <v>0.72272816466497913</v>
      </c>
    </row>
    <row r="26" spans="1:18" x14ac:dyDescent="0.25">
      <c r="A26">
        <v>25</v>
      </c>
      <c r="B26" s="40" t="s">
        <v>231</v>
      </c>
      <c r="C26" s="40" t="s">
        <v>204</v>
      </c>
      <c r="D26" s="40" t="s">
        <v>241</v>
      </c>
      <c r="E26" s="135">
        <v>-134.88399999999999</v>
      </c>
      <c r="F26" s="40" t="s">
        <v>210</v>
      </c>
      <c r="G26" s="40" t="s">
        <v>200</v>
      </c>
      <c r="H26" s="40"/>
      <c r="I26" s="40" t="s">
        <v>187</v>
      </c>
      <c r="J26" s="40" t="s">
        <v>229</v>
      </c>
      <c r="K26" s="40" t="s">
        <v>224</v>
      </c>
      <c r="P26" s="57">
        <f t="shared" ref="P26" si="6">SQRT((B26-$B$1)^2+(C26-$C$1)^2+(D26-$D$1)^2)</f>
        <v>0.88569577169591718</v>
      </c>
      <c r="Q26" s="57">
        <f t="shared" ref="Q26" si="7">SQRT(((E26-$E$1)*PI()/180*1000)^2+((F26-$F$1)*PI()/180*1000)^2*((G26-$G$1)*PI()/180*1000)^2)</f>
        <v>1.3675858589940193</v>
      </c>
      <c r="R26" s="57">
        <f t="shared" ref="R26" si="8">SQRT((I26-$I$1)^2+(J26-$J$1)^2+(K26-$K$1)^2)</f>
        <v>0.7192051167782435</v>
      </c>
    </row>
    <row r="27" spans="1:18" x14ac:dyDescent="0.25">
      <c r="A27">
        <v>26</v>
      </c>
      <c r="B27" s="40"/>
      <c r="C27" s="40"/>
      <c r="D27" s="40"/>
      <c r="E27" s="135"/>
      <c r="F27" s="40"/>
      <c r="G27" s="40"/>
      <c r="H27" s="40"/>
      <c r="I27" s="40"/>
      <c r="J27" s="40"/>
      <c r="K27" s="40"/>
      <c r="P27" s="57"/>
      <c r="Q27" s="57"/>
      <c r="R27" s="57"/>
    </row>
    <row r="28" spans="1:18" x14ac:dyDescent="0.25">
      <c r="A28">
        <v>27</v>
      </c>
      <c r="B28" s="40"/>
      <c r="C28" s="40"/>
      <c r="D28" s="40"/>
      <c r="E28" s="135"/>
      <c r="F28" s="40"/>
      <c r="G28" s="40"/>
      <c r="H28" s="40"/>
      <c r="I28" s="40"/>
      <c r="J28" s="40"/>
      <c r="K28" s="40"/>
      <c r="P28" s="57"/>
      <c r="Q28" s="57"/>
      <c r="R28" s="57"/>
    </row>
    <row r="29" spans="1:18" x14ac:dyDescent="0.25">
      <c r="A29">
        <v>28</v>
      </c>
      <c r="B29" s="40"/>
      <c r="C29" s="40"/>
      <c r="D29" s="40"/>
      <c r="E29" s="135"/>
      <c r="F29" s="40"/>
      <c r="G29" s="40"/>
      <c r="H29" s="40"/>
      <c r="I29" s="40"/>
      <c r="J29" s="40"/>
      <c r="K29" s="40"/>
      <c r="P29" s="57"/>
      <c r="Q29" s="57"/>
      <c r="R29" s="57"/>
    </row>
    <row r="30" spans="1:18" x14ac:dyDescent="0.25">
      <c r="A30">
        <v>29</v>
      </c>
      <c r="B30" s="40"/>
      <c r="C30" s="40"/>
      <c r="D30" s="40"/>
      <c r="E30" s="135"/>
      <c r="F30" s="40"/>
      <c r="G30" s="40"/>
      <c r="H30" s="40"/>
      <c r="I30" s="40"/>
      <c r="J30" s="40"/>
      <c r="K30" s="40"/>
      <c r="P30" s="57"/>
      <c r="Q30" s="57"/>
      <c r="R30" s="57"/>
    </row>
    <row r="31" spans="1:18" x14ac:dyDescent="0.25">
      <c r="A31">
        <v>30</v>
      </c>
      <c r="B31" s="40" t="s">
        <v>218</v>
      </c>
      <c r="C31" s="40" t="s">
        <v>204</v>
      </c>
      <c r="D31" s="40" t="s">
        <v>241</v>
      </c>
      <c r="E31" s="135">
        <v>-134.88300000000001</v>
      </c>
      <c r="F31" s="40" t="s">
        <v>193</v>
      </c>
      <c r="G31" s="40" t="s">
        <v>200</v>
      </c>
      <c r="H31" s="40"/>
      <c r="I31" s="40" t="s">
        <v>242</v>
      </c>
      <c r="J31" s="40" t="s">
        <v>236</v>
      </c>
      <c r="K31" s="40" t="s">
        <v>224</v>
      </c>
      <c r="P31" s="57">
        <f t="shared" ref="P31" si="9">SQRT((B31-$B$1)^2+(C31-$C$1)^2+(D31-$D$1)^2)</f>
        <v>0.89990943988826078</v>
      </c>
      <c r="Q31" s="57">
        <f t="shared" ref="Q31" si="10">SQRT(((E31-$E$1)*PI()/180*1000)^2+((F31-$F$1)*PI()/180*1000)^2*((G31-$G$1)*PI()/180*1000)^2)</f>
        <v>1.3798528086090336</v>
      </c>
      <c r="R31" s="57">
        <f t="shared" ref="R31" si="11">SQRT((I31-$I$1)^2+(J31-$J$1)^2+(K31-$K$1)^2)</f>
        <v>0.72887310281008066</v>
      </c>
    </row>
    <row r="32" spans="1:18" x14ac:dyDescent="0.25">
      <c r="A32">
        <v>31</v>
      </c>
      <c r="B32" s="40"/>
      <c r="C32" s="40"/>
      <c r="D32" s="40"/>
      <c r="E32" s="135"/>
      <c r="F32" s="40"/>
      <c r="G32" s="40"/>
      <c r="H32" s="40"/>
      <c r="I32" s="40"/>
      <c r="J32" s="40"/>
      <c r="K32" s="40"/>
      <c r="P32" s="57"/>
      <c r="Q32" s="57"/>
      <c r="R32" s="57"/>
    </row>
    <row r="33" spans="1:18" x14ac:dyDescent="0.25">
      <c r="A33">
        <v>32</v>
      </c>
      <c r="B33" s="40"/>
      <c r="C33" s="40"/>
      <c r="D33" s="40"/>
      <c r="E33" s="135"/>
      <c r="F33" s="40"/>
      <c r="G33" s="40"/>
      <c r="H33" s="40"/>
      <c r="I33" s="40"/>
      <c r="J33" s="40"/>
      <c r="K33" s="40"/>
      <c r="P33" s="57"/>
      <c r="Q33" s="57"/>
      <c r="R33" s="57"/>
    </row>
    <row r="34" spans="1:18" x14ac:dyDescent="0.25">
      <c r="A34">
        <v>33</v>
      </c>
      <c r="B34" s="40"/>
      <c r="C34" s="40"/>
      <c r="D34" s="40"/>
      <c r="E34" s="135"/>
      <c r="F34" s="40"/>
      <c r="G34" s="40"/>
      <c r="H34" s="40"/>
      <c r="I34" s="40"/>
      <c r="J34" s="40"/>
      <c r="K34" s="40"/>
      <c r="P34" s="57"/>
      <c r="Q34" s="57"/>
      <c r="R34" s="57"/>
    </row>
    <row r="35" spans="1:18" x14ac:dyDescent="0.25">
      <c r="A35">
        <v>34</v>
      </c>
      <c r="B35" s="40"/>
      <c r="C35" s="40"/>
      <c r="D35" s="40"/>
      <c r="E35" s="135"/>
      <c r="F35" s="40"/>
      <c r="G35" s="40"/>
      <c r="H35" s="40"/>
      <c r="I35" s="40"/>
      <c r="J35" s="40"/>
      <c r="K35" s="40"/>
      <c r="P35" s="57"/>
      <c r="Q35" s="57"/>
      <c r="R35" s="57"/>
    </row>
    <row r="36" spans="1:18" x14ac:dyDescent="0.25">
      <c r="A36">
        <v>35</v>
      </c>
      <c r="B36" s="40" t="s">
        <v>243</v>
      </c>
      <c r="C36" s="40" t="s">
        <v>204</v>
      </c>
      <c r="D36" s="40" t="s">
        <v>205</v>
      </c>
      <c r="E36" s="135">
        <v>-134.88200000000001</v>
      </c>
      <c r="F36" s="40" t="s">
        <v>193</v>
      </c>
      <c r="G36" s="40" t="s">
        <v>200</v>
      </c>
      <c r="H36" s="40"/>
      <c r="I36" s="40" t="s">
        <v>244</v>
      </c>
      <c r="J36" s="40" t="s">
        <v>223</v>
      </c>
      <c r="K36" s="40" t="s">
        <v>224</v>
      </c>
      <c r="P36" s="57">
        <f t="shared" ref="P36" si="12">SQRT((B36-$B$1)^2+(C36-$C$1)^2+(D36-$D$1)^2)</f>
        <v>0.90575769386739535</v>
      </c>
      <c r="Q36" s="57">
        <f t="shared" ref="Q36" si="13">SQRT(((E36-$E$1)*PI()/180*1000)^2+((F36-$F$1)*PI()/180*1000)^2*((G36-$G$1)*PI()/180*1000)^2)</f>
        <v>1.3966389077545509</v>
      </c>
      <c r="R36" s="57">
        <f t="shared" ref="R36" si="14">SQRT((I36-$I$1)^2+(J36-$J$1)^2+(K36-$K$1)^2)</f>
        <v>0.74816843023480273</v>
      </c>
    </row>
    <row r="37" spans="1:18" x14ac:dyDescent="0.25">
      <c r="A37">
        <v>36</v>
      </c>
      <c r="B37" s="40"/>
      <c r="C37" s="40"/>
      <c r="D37" s="40"/>
      <c r="E37" s="135"/>
      <c r="F37" s="40"/>
      <c r="G37" s="40"/>
      <c r="H37" s="40"/>
      <c r="I37" s="40"/>
      <c r="J37" s="40"/>
      <c r="K37" s="40"/>
      <c r="P37" s="57"/>
      <c r="Q37" s="57"/>
      <c r="R37" s="57"/>
    </row>
    <row r="38" spans="1:18" x14ac:dyDescent="0.25">
      <c r="A38">
        <v>37</v>
      </c>
      <c r="B38" s="40"/>
      <c r="C38" s="40"/>
      <c r="D38" s="40"/>
      <c r="E38" s="135"/>
      <c r="F38" s="40"/>
      <c r="G38" s="40"/>
      <c r="H38" s="40"/>
      <c r="I38" s="40"/>
      <c r="J38" s="40"/>
      <c r="K38" s="40"/>
      <c r="P38" s="57"/>
      <c r="Q38" s="57"/>
      <c r="R38" s="57"/>
    </row>
    <row r="39" spans="1:18" x14ac:dyDescent="0.25">
      <c r="A39">
        <v>38</v>
      </c>
      <c r="B39" s="40"/>
      <c r="C39" s="40"/>
      <c r="D39" s="40"/>
      <c r="E39" s="135"/>
      <c r="F39" s="40"/>
      <c r="G39" s="40"/>
      <c r="H39" s="40"/>
      <c r="I39" s="40"/>
      <c r="J39" s="40"/>
      <c r="K39" s="40"/>
      <c r="P39" s="57"/>
      <c r="Q39" s="57"/>
      <c r="R39" s="57"/>
    </row>
    <row r="40" spans="1:18" x14ac:dyDescent="0.25">
      <c r="A40">
        <v>39</v>
      </c>
      <c r="B40" s="40"/>
      <c r="C40" s="40"/>
      <c r="D40" s="40"/>
      <c r="E40" s="135"/>
      <c r="F40" s="40"/>
      <c r="G40" s="40"/>
      <c r="H40" s="40"/>
      <c r="I40" s="40"/>
      <c r="J40" s="40"/>
      <c r="K40" s="40"/>
      <c r="P40" s="57"/>
      <c r="Q40" s="57"/>
      <c r="R40" s="57"/>
    </row>
    <row r="41" spans="1:18" x14ac:dyDescent="0.25">
      <c r="A41">
        <v>40</v>
      </c>
      <c r="B41" s="40" t="s">
        <v>245</v>
      </c>
      <c r="C41" s="40" t="s">
        <v>197</v>
      </c>
      <c r="D41" s="40" t="s">
        <v>205</v>
      </c>
      <c r="E41" s="135">
        <v>-134.88200000000001</v>
      </c>
      <c r="F41" s="40" t="s">
        <v>199</v>
      </c>
      <c r="G41" s="40" t="s">
        <v>200</v>
      </c>
      <c r="H41" s="40"/>
      <c r="I41" s="40" t="s">
        <v>246</v>
      </c>
      <c r="J41" s="40" t="s">
        <v>201</v>
      </c>
      <c r="K41" s="40" t="s">
        <v>247</v>
      </c>
      <c r="P41" s="57">
        <f t="shared" ref="P41" si="15">SQRT((B41-$B$1)^2+(C41-$C$1)^2+(D41-$D$1)^2)</f>
        <v>0.90844757691348288</v>
      </c>
      <c r="Q41" s="57">
        <f t="shared" ref="Q41" si="16">SQRT(((E41-$E$1)*PI()/180*1000)^2+((F41-$F$1)*PI()/180*1000)^2*((G41-$G$1)*PI()/180*1000)^2)</f>
        <v>1.3988154920346347</v>
      </c>
      <c r="R41" s="57">
        <f t="shared" ref="R41" si="17">SQRT((I41-$I$1)^2+(J41-$J$1)^2+(K41-$K$1)^2)</f>
        <v>0.75509999337836053</v>
      </c>
    </row>
    <row r="42" spans="1:18" x14ac:dyDescent="0.25">
      <c r="A42">
        <v>41</v>
      </c>
      <c r="B42" s="40"/>
      <c r="C42" s="40"/>
      <c r="D42" s="40"/>
      <c r="E42" s="135"/>
      <c r="F42" s="40"/>
      <c r="G42" s="40"/>
      <c r="H42" s="40"/>
      <c r="I42" s="40"/>
      <c r="J42" s="40"/>
      <c r="K42" s="40"/>
      <c r="P42" s="57"/>
      <c r="Q42" s="57"/>
      <c r="R42" s="57"/>
    </row>
    <row r="43" spans="1:18" x14ac:dyDescent="0.25">
      <c r="A43">
        <v>42</v>
      </c>
      <c r="B43" s="40"/>
      <c r="C43" s="40"/>
      <c r="D43" s="40"/>
      <c r="E43" s="135"/>
      <c r="F43" s="40"/>
      <c r="G43" s="40"/>
      <c r="H43" s="40"/>
      <c r="I43" s="40"/>
      <c r="J43" s="40"/>
      <c r="K43" s="40"/>
      <c r="P43" s="57"/>
      <c r="Q43" s="57"/>
      <c r="R43" s="57"/>
    </row>
    <row r="44" spans="1:18" x14ac:dyDescent="0.25">
      <c r="A44">
        <v>43</v>
      </c>
      <c r="B44" s="40"/>
      <c r="C44" s="40"/>
      <c r="D44" s="40"/>
      <c r="E44" s="135"/>
      <c r="F44" s="40"/>
      <c r="G44" s="40"/>
      <c r="H44" s="40"/>
      <c r="I44" s="40"/>
      <c r="J44" s="40"/>
      <c r="K44" s="40"/>
      <c r="P44" s="57"/>
      <c r="Q44" s="57"/>
      <c r="R44" s="57"/>
    </row>
    <row r="45" spans="1:18" x14ac:dyDescent="0.25">
      <c r="A45">
        <v>44</v>
      </c>
      <c r="B45" s="40"/>
      <c r="C45" s="40"/>
      <c r="D45" s="40"/>
      <c r="E45" s="135"/>
      <c r="F45" s="40"/>
      <c r="G45" s="40"/>
      <c r="H45" s="40"/>
      <c r="I45" s="40"/>
      <c r="J45" s="40"/>
      <c r="K45" s="40"/>
      <c r="P45" s="57"/>
      <c r="Q45" s="57"/>
      <c r="R45" s="57"/>
    </row>
    <row r="46" spans="1:18" x14ac:dyDescent="0.25">
      <c r="A46">
        <v>45</v>
      </c>
      <c r="B46" s="40" t="s">
        <v>218</v>
      </c>
      <c r="C46" s="40" t="s">
        <v>235</v>
      </c>
      <c r="D46" s="40" t="s">
        <v>205</v>
      </c>
      <c r="E46" s="135">
        <v>-134.88200000000001</v>
      </c>
      <c r="F46" s="40" t="s">
        <v>199</v>
      </c>
      <c r="G46" s="40" t="s">
        <v>206</v>
      </c>
      <c r="H46" s="40"/>
      <c r="I46" s="40" t="s">
        <v>244</v>
      </c>
      <c r="J46" s="40" t="s">
        <v>223</v>
      </c>
      <c r="K46" s="40" t="s">
        <v>248</v>
      </c>
      <c r="P46" s="57">
        <f t="shared" ref="P46" si="18">SQRT((B46-$B$1)^2+(C46-$C$1)^2+(D46-$D$1)^2)</f>
        <v>0.88045272445488154</v>
      </c>
      <c r="Q46" s="57">
        <f>SQRT(((E46-$E$1)*PI()/180*1000)^2+((F46-$F$1)*PI()/180*1000)^2*((G46-$G$1)*PI()/180*1000)^2)</f>
        <v>1.3947481261609034</v>
      </c>
      <c r="R46" s="57">
        <f>SQRT((I46-$I$1)^2+(J46-$J$1)^2+(K46-$K$1)^2)</f>
        <v>0.74215631776601532</v>
      </c>
    </row>
    <row r="51" spans="2:4" x14ac:dyDescent="0.25">
      <c r="B51" s="57"/>
      <c r="C51" s="57"/>
      <c r="D51" s="5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D5F6-1B25-463B-B69E-F0DA5E2C5F36}">
  <dimension ref="A1:R47"/>
  <sheetViews>
    <sheetView topLeftCell="A25" zoomScale="85" zoomScaleNormal="85" workbookViewId="0">
      <selection activeCell="A51" sqref="A51:G51"/>
    </sheetView>
  </sheetViews>
  <sheetFormatPr baseColWidth="10" defaultRowHeight="15" x14ac:dyDescent="0.25"/>
  <cols>
    <col min="16" max="16" width="25" customWidth="1"/>
    <col min="17" max="17" width="22.7109375" customWidth="1"/>
    <col min="18" max="18" width="25.42578125" customWidth="1"/>
  </cols>
  <sheetData>
    <row r="1" spans="1:18" x14ac:dyDescent="0.25">
      <c r="A1" s="42" t="s">
        <v>1</v>
      </c>
      <c r="B1">
        <v>990.41800000000001</v>
      </c>
      <c r="C1">
        <v>1697.6479999999999</v>
      </c>
      <c r="D1">
        <v>40.436999999999998</v>
      </c>
      <c r="E1">
        <v>-134.959</v>
      </c>
      <c r="F1">
        <v>0.123</v>
      </c>
      <c r="G1">
        <v>0.108</v>
      </c>
      <c r="H1" s="42" t="s">
        <v>164</v>
      </c>
      <c r="I1">
        <v>245.37</v>
      </c>
      <c r="J1">
        <v>0.28000000000000003</v>
      </c>
      <c r="K1">
        <v>92.396000000000001</v>
      </c>
      <c r="L1">
        <v>0.15</v>
      </c>
      <c r="M1">
        <v>90.01</v>
      </c>
      <c r="N1">
        <v>0.2</v>
      </c>
      <c r="P1" t="s">
        <v>423</v>
      </c>
      <c r="Q1" t="s">
        <v>425</v>
      </c>
      <c r="R1" t="s">
        <v>424</v>
      </c>
    </row>
    <row r="2" spans="1:18" x14ac:dyDescent="0.25">
      <c r="A2" s="42"/>
      <c r="H2" s="42"/>
    </row>
    <row r="3" spans="1:18" x14ac:dyDescent="0.25">
      <c r="I3" s="40"/>
    </row>
    <row r="4" spans="1:18" x14ac:dyDescent="0.25">
      <c r="A4" t="s">
        <v>165</v>
      </c>
    </row>
    <row r="5" spans="1:18" x14ac:dyDescent="0.25">
      <c r="A5">
        <v>3</v>
      </c>
      <c r="B5" s="40">
        <v>990.1</v>
      </c>
      <c r="C5" s="40">
        <v>1699</v>
      </c>
      <c r="D5" s="40">
        <v>40.75</v>
      </c>
      <c r="E5" s="135">
        <v>-134.851</v>
      </c>
      <c r="F5" s="40">
        <v>0.218</v>
      </c>
      <c r="G5" s="40">
        <v>9.0999999999999998E-2</v>
      </c>
      <c r="H5" s="40"/>
      <c r="I5" s="40">
        <v>246.5</v>
      </c>
      <c r="J5" s="40">
        <v>0.71</v>
      </c>
      <c r="K5" s="40">
        <v>92.9</v>
      </c>
      <c r="P5" s="57">
        <f>SQRT((B5-$B$1)^2+(C5-$C$1)^2+(D5-$D$1)^2)</f>
        <v>1.4237264484444447</v>
      </c>
      <c r="Q5" s="57">
        <f>SQRT(((E5-$E$1)*PI()/180*1000)^2+((F5-$F$1)*PI()/180*1000)^2*((G5-$G$1)*PI()/180*1000)^2)</f>
        <v>1.9480963541514746</v>
      </c>
      <c r="R5" s="57">
        <f>SQRT((I5-$I$1)^2+(J5-$J$1)^2+(K5-$K$1)^2)</f>
        <v>1.3098915985683679</v>
      </c>
    </row>
    <row r="6" spans="1:18" x14ac:dyDescent="0.25">
      <c r="A6">
        <v>4</v>
      </c>
      <c r="B6" s="40">
        <v>990.03</v>
      </c>
      <c r="C6" s="40">
        <v>1698.4</v>
      </c>
      <c r="D6" s="40">
        <v>40.83</v>
      </c>
      <c r="E6" s="135">
        <v>-134.88399999999999</v>
      </c>
      <c r="F6" s="40">
        <v>0.18</v>
      </c>
      <c r="G6" s="40">
        <v>8.1000000000000003E-2</v>
      </c>
      <c r="H6" s="40"/>
      <c r="I6" s="40">
        <v>246.03</v>
      </c>
      <c r="J6" s="40">
        <v>0.39</v>
      </c>
      <c r="K6" s="40">
        <v>92.72</v>
      </c>
      <c r="P6" s="57">
        <f t="shared" ref="P6:P27" si="0">SQRT((B6-$B$1)^2+(C6-$C$1)^2+(D6-$D$1)^2)</f>
        <v>0.93300428723575402</v>
      </c>
      <c r="Q6" s="57">
        <f t="shared" ref="Q6:Q27" si="1">SQRT(((E6-$E$1)*PI()/180*1000)^2+((F6-$F$1)*PI()/180*1000)^2*((G6-$G$1)*PI()/180*1000)^2)</f>
        <v>1.3904144159014185</v>
      </c>
      <c r="R6" s="57">
        <f t="shared" ref="R6:R27" si="2">SQRT((I6-$I$1)^2+(J6-$J$1)^2+(K6-$K$1)^2)</f>
        <v>0.74342181835078947</v>
      </c>
    </row>
    <row r="7" spans="1:18" x14ac:dyDescent="0.25">
      <c r="A7">
        <v>5</v>
      </c>
      <c r="B7" s="40">
        <v>990</v>
      </c>
      <c r="C7" s="40">
        <v>1698.33</v>
      </c>
      <c r="D7" s="40">
        <v>40.81</v>
      </c>
      <c r="E7" s="135">
        <v>-134.88300000000001</v>
      </c>
      <c r="F7" s="40">
        <v>0.17599999999999999</v>
      </c>
      <c r="G7" s="40">
        <v>8.4000000000000005E-2</v>
      </c>
      <c r="H7" s="40"/>
      <c r="I7" s="40">
        <v>246.01</v>
      </c>
      <c r="J7" s="40">
        <v>0.39</v>
      </c>
      <c r="K7" s="40">
        <v>92.67</v>
      </c>
      <c r="P7" s="57">
        <f t="shared" si="0"/>
        <v>0.88259673690764984</v>
      </c>
      <c r="Q7" s="57">
        <f t="shared" si="1"/>
        <v>1.38188487936704</v>
      </c>
      <c r="R7" s="57">
        <f t="shared" si="2"/>
        <v>0.70482338213199414</v>
      </c>
    </row>
    <row r="8" spans="1:18" x14ac:dyDescent="0.25">
      <c r="A8">
        <v>6</v>
      </c>
      <c r="B8" s="40">
        <v>990</v>
      </c>
      <c r="C8" s="40">
        <v>1698.33</v>
      </c>
      <c r="D8" s="40">
        <v>40.81</v>
      </c>
      <c r="E8" s="135">
        <v>-134.88300000000001</v>
      </c>
      <c r="F8" s="40">
        <v>0.17599999999999999</v>
      </c>
      <c r="G8" s="40">
        <v>8.4000000000000005E-2</v>
      </c>
      <c r="H8" s="40"/>
      <c r="I8" s="40">
        <v>246.01</v>
      </c>
      <c r="J8" s="40">
        <v>0.39</v>
      </c>
      <c r="K8" s="40">
        <v>92.67</v>
      </c>
      <c r="P8" s="57">
        <f t="shared" si="0"/>
        <v>0.88259673690764984</v>
      </c>
      <c r="Q8" s="57">
        <f t="shared" si="1"/>
        <v>1.38188487936704</v>
      </c>
      <c r="R8" s="57">
        <f t="shared" si="2"/>
        <v>0.70482338213199414</v>
      </c>
    </row>
    <row r="9" spans="1:18" x14ac:dyDescent="0.25">
      <c r="A9">
        <v>7</v>
      </c>
      <c r="B9" s="40">
        <v>990.01</v>
      </c>
      <c r="C9" s="40">
        <v>1698.24</v>
      </c>
      <c r="D9" s="40">
        <v>40.92</v>
      </c>
      <c r="E9" s="135">
        <v>-134.88800000000001</v>
      </c>
      <c r="F9" s="40">
        <v>0.17599999999999999</v>
      </c>
      <c r="G9" s="40">
        <v>8.5999999999999993E-2</v>
      </c>
      <c r="H9" s="40"/>
      <c r="I9" s="40">
        <v>245.94</v>
      </c>
      <c r="J9" s="40">
        <v>0.35</v>
      </c>
      <c r="K9" s="40">
        <v>92.55</v>
      </c>
      <c r="P9" s="57">
        <f t="shared" si="0"/>
        <v>0.86615067973195803</v>
      </c>
      <c r="Q9" s="57">
        <f t="shared" si="1"/>
        <v>1.2890818531469455</v>
      </c>
      <c r="R9" s="57">
        <f t="shared" si="2"/>
        <v>0.59457211505417173</v>
      </c>
    </row>
    <row r="10" spans="1:18" x14ac:dyDescent="0.25">
      <c r="A10">
        <v>8</v>
      </c>
      <c r="B10" s="40">
        <v>990</v>
      </c>
      <c r="C10" s="40">
        <v>1698.22</v>
      </c>
      <c r="D10" s="40">
        <v>40.94</v>
      </c>
      <c r="E10" s="135">
        <v>-134.887</v>
      </c>
      <c r="F10" s="40">
        <v>0.17699999999999999</v>
      </c>
      <c r="G10" s="40">
        <v>8.6999999999999994E-2</v>
      </c>
      <c r="H10" s="40"/>
      <c r="I10" s="40">
        <v>245.94</v>
      </c>
      <c r="J10" s="40">
        <v>0.36</v>
      </c>
      <c r="K10" s="40">
        <v>92.52</v>
      </c>
      <c r="P10" s="57">
        <f t="shared" si="0"/>
        <v>0.86885959740348073</v>
      </c>
      <c r="Q10" s="57">
        <f t="shared" si="1"/>
        <v>1.303250874041936</v>
      </c>
      <c r="R10" s="57">
        <f t="shared" si="2"/>
        <v>0.58879198364107432</v>
      </c>
    </row>
    <row r="11" spans="1:18" x14ac:dyDescent="0.25">
      <c r="A11">
        <v>9</v>
      </c>
      <c r="B11" s="40">
        <v>989.97</v>
      </c>
      <c r="C11" s="40">
        <v>1698.25</v>
      </c>
      <c r="D11" s="40">
        <v>40.94</v>
      </c>
      <c r="E11" s="135">
        <v>-134.887</v>
      </c>
      <c r="F11" s="40">
        <v>0.17699999999999999</v>
      </c>
      <c r="G11" s="40">
        <v>8.5999999999999993E-2</v>
      </c>
      <c r="H11" s="40"/>
      <c r="I11" s="40">
        <v>245.96</v>
      </c>
      <c r="J11" s="40">
        <v>0.36</v>
      </c>
      <c r="K11" s="40">
        <v>92.53</v>
      </c>
      <c r="P11" s="57">
        <f t="shared" si="0"/>
        <v>0.90339194151823632</v>
      </c>
      <c r="Q11" s="57">
        <f t="shared" si="1"/>
        <v>1.3077070832007698</v>
      </c>
      <c r="R11" s="57">
        <f t="shared" si="2"/>
        <v>0.61029173351767119</v>
      </c>
    </row>
    <row r="12" spans="1:18" x14ac:dyDescent="0.25">
      <c r="A12">
        <v>10</v>
      </c>
      <c r="B12" s="40">
        <v>989.94</v>
      </c>
      <c r="C12" s="40">
        <v>1698.25</v>
      </c>
      <c r="D12" s="40">
        <v>40.950000000000003</v>
      </c>
      <c r="E12" s="135">
        <v>-134.886</v>
      </c>
      <c r="F12" s="40">
        <v>0.17599999999999999</v>
      </c>
      <c r="G12" s="40">
        <v>8.5000000000000006E-2</v>
      </c>
      <c r="H12" s="40"/>
      <c r="I12" s="40">
        <v>245.96</v>
      </c>
      <c r="J12" s="40">
        <v>0.36</v>
      </c>
      <c r="K12" s="40">
        <v>92.53</v>
      </c>
      <c r="P12" s="57">
        <f t="shared" si="0"/>
        <v>0.92415204376772697</v>
      </c>
      <c r="Q12" s="57">
        <f t="shared" si="1"/>
        <v>1.3270987849465921</v>
      </c>
      <c r="R12" s="57">
        <f t="shared" si="2"/>
        <v>0.61029173351767119</v>
      </c>
    </row>
    <row r="13" spans="1:18" x14ac:dyDescent="0.25">
      <c r="A13">
        <v>11</v>
      </c>
      <c r="B13" s="40">
        <v>989.93</v>
      </c>
      <c r="C13" s="40">
        <v>1698.23</v>
      </c>
      <c r="D13" s="40">
        <v>40.93</v>
      </c>
      <c r="E13" s="135">
        <v>-134.88499999999999</v>
      </c>
      <c r="F13" s="40">
        <v>0.17399999999999999</v>
      </c>
      <c r="G13" s="40">
        <v>8.4000000000000005E-2</v>
      </c>
      <c r="H13" s="40"/>
      <c r="I13" s="40">
        <v>245.96</v>
      </c>
      <c r="J13" s="40">
        <v>0.35</v>
      </c>
      <c r="K13" s="40">
        <v>92.55</v>
      </c>
      <c r="P13" s="57">
        <f t="shared" si="0"/>
        <v>0.90549268357076307</v>
      </c>
      <c r="Q13" s="57">
        <f t="shared" si="1"/>
        <v>1.3442854597204834</v>
      </c>
      <c r="R13" s="57">
        <f t="shared" si="2"/>
        <v>0.61377194461787099</v>
      </c>
    </row>
    <row r="14" spans="1:18" x14ac:dyDescent="0.25">
      <c r="A14">
        <v>12</v>
      </c>
      <c r="B14" s="40">
        <v>989.97</v>
      </c>
      <c r="C14" s="40">
        <v>1698.26</v>
      </c>
      <c r="D14" s="40">
        <v>40.92</v>
      </c>
      <c r="E14" s="135">
        <v>-134.886</v>
      </c>
      <c r="F14" s="40">
        <v>0.17499999999999999</v>
      </c>
      <c r="G14" s="40">
        <v>8.4000000000000005E-2</v>
      </c>
      <c r="H14" s="40"/>
      <c r="I14" s="40">
        <v>245.97</v>
      </c>
      <c r="J14" s="40">
        <v>0.32</v>
      </c>
      <c r="K14" s="40">
        <v>92.57</v>
      </c>
      <c r="P14" s="57">
        <f t="shared" si="0"/>
        <v>0.89918685488617056</v>
      </c>
      <c r="Q14" s="57">
        <f t="shared" si="1"/>
        <v>1.3295976033305033</v>
      </c>
      <c r="R14" s="57">
        <f t="shared" si="2"/>
        <v>0.62599999999999245</v>
      </c>
    </row>
    <row r="15" spans="1:18" x14ac:dyDescent="0.25">
      <c r="A15">
        <v>13</v>
      </c>
      <c r="B15" s="40">
        <v>989.98</v>
      </c>
      <c r="C15" s="40">
        <v>1698.26</v>
      </c>
      <c r="D15" s="40">
        <v>40.94</v>
      </c>
      <c r="E15" s="135">
        <v>-134.886</v>
      </c>
      <c r="F15" s="40">
        <v>0.17599999999999999</v>
      </c>
      <c r="G15" s="40">
        <v>8.3000000000000004E-2</v>
      </c>
      <c r="H15" s="40"/>
      <c r="I15" s="40">
        <v>245.95</v>
      </c>
      <c r="J15" s="40">
        <v>0.31</v>
      </c>
      <c r="K15" s="40">
        <v>92.56</v>
      </c>
      <c r="P15" s="57">
        <f t="shared" si="0"/>
        <v>0.90520550152994961</v>
      </c>
      <c r="Q15" s="57">
        <f t="shared" si="1"/>
        <v>1.3364930922115947</v>
      </c>
      <c r="R15" s="57">
        <f t="shared" si="2"/>
        <v>0.60348653671807961</v>
      </c>
    </row>
    <row r="16" spans="1:18" x14ac:dyDescent="0.25">
      <c r="A16">
        <v>14</v>
      </c>
      <c r="B16" s="40">
        <v>989.97</v>
      </c>
      <c r="C16" s="40">
        <v>1698.3</v>
      </c>
      <c r="D16" s="40">
        <v>40.92</v>
      </c>
      <c r="E16" s="135">
        <v>-134.886</v>
      </c>
      <c r="F16" s="40">
        <v>0.17699999999999999</v>
      </c>
      <c r="G16" s="40">
        <v>8.3000000000000004E-2</v>
      </c>
      <c r="H16" s="40"/>
      <c r="I16" s="40">
        <v>245.98</v>
      </c>
      <c r="J16" s="40">
        <v>0.32</v>
      </c>
      <c r="K16" s="40">
        <v>92.59</v>
      </c>
      <c r="P16" s="57">
        <f t="shared" si="0"/>
        <v>0.92687485670938452</v>
      </c>
      <c r="Q16" s="57">
        <f t="shared" si="1"/>
        <v>1.3388126214340335</v>
      </c>
      <c r="R16" s="57">
        <f t="shared" si="2"/>
        <v>0.6413548159950021</v>
      </c>
    </row>
    <row r="17" spans="1:18" x14ac:dyDescent="0.25">
      <c r="A17">
        <v>15</v>
      </c>
      <c r="B17" s="40">
        <v>989.93</v>
      </c>
      <c r="C17" s="40">
        <v>1698.27</v>
      </c>
      <c r="D17" s="40">
        <v>40.89</v>
      </c>
      <c r="E17" s="135">
        <v>-134.886</v>
      </c>
      <c r="F17" s="40">
        <v>0.17499999999999999</v>
      </c>
      <c r="G17" s="40">
        <v>8.3000000000000004E-2</v>
      </c>
      <c r="H17" s="40"/>
      <c r="I17" s="40">
        <v>246.01</v>
      </c>
      <c r="J17" s="40">
        <v>0.3</v>
      </c>
      <c r="K17" s="40">
        <v>92.59</v>
      </c>
      <c r="P17" s="57">
        <f t="shared" si="0"/>
        <v>0.9111734192787595</v>
      </c>
      <c r="Q17" s="57">
        <f t="shared" si="1"/>
        <v>1.3342129985362527</v>
      </c>
      <c r="R17" s="57">
        <f t="shared" si="2"/>
        <v>0.6690560514635403</v>
      </c>
    </row>
    <row r="18" spans="1:18" x14ac:dyDescent="0.25">
      <c r="A18">
        <v>16</v>
      </c>
      <c r="B18" s="40">
        <v>989.94</v>
      </c>
      <c r="C18" s="40">
        <v>1698.27</v>
      </c>
      <c r="D18" s="40">
        <v>40.909999999999997</v>
      </c>
      <c r="E18" s="135">
        <v>-134.887</v>
      </c>
      <c r="F18" s="40">
        <v>0.17599999999999999</v>
      </c>
      <c r="G18" s="40">
        <v>8.3000000000000004E-2</v>
      </c>
      <c r="H18" s="40"/>
      <c r="I18" s="40">
        <v>246</v>
      </c>
      <c r="J18" s="40">
        <v>0.28999999999999998</v>
      </c>
      <c r="K18" s="40">
        <v>92.59</v>
      </c>
      <c r="P18" s="57">
        <f t="shared" si="0"/>
        <v>0.91602237963929756</v>
      </c>
      <c r="Q18" s="57">
        <f t="shared" si="1"/>
        <v>1.3198652429926412</v>
      </c>
      <c r="R18" s="57">
        <f t="shared" si="2"/>
        <v>0.65926929247462696</v>
      </c>
    </row>
    <row r="19" spans="1:18" x14ac:dyDescent="0.25">
      <c r="A19">
        <v>17</v>
      </c>
      <c r="B19" s="40">
        <v>989.94</v>
      </c>
      <c r="C19" s="40">
        <v>1698.26</v>
      </c>
      <c r="D19" s="40">
        <v>40.9</v>
      </c>
      <c r="E19" s="135">
        <v>-134.887</v>
      </c>
      <c r="F19" s="40">
        <v>0.17499999999999999</v>
      </c>
      <c r="G19" s="40">
        <v>8.3000000000000004E-2</v>
      </c>
      <c r="H19" s="40"/>
      <c r="I19" s="40">
        <v>246</v>
      </c>
      <c r="J19" s="40">
        <v>0.28000000000000003</v>
      </c>
      <c r="K19" s="40">
        <v>92.58</v>
      </c>
      <c r="P19" s="57">
        <f t="shared" si="0"/>
        <v>0.90410010507689509</v>
      </c>
      <c r="Q19" s="57">
        <f t="shared" si="1"/>
        <v>1.3175563743513263</v>
      </c>
      <c r="R19" s="57">
        <f t="shared" si="2"/>
        <v>0.65632004388102716</v>
      </c>
    </row>
    <row r="20" spans="1:18" x14ac:dyDescent="0.25">
      <c r="A20">
        <v>18</v>
      </c>
      <c r="B20" s="40">
        <v>989.95</v>
      </c>
      <c r="C20" s="40">
        <v>1698.27</v>
      </c>
      <c r="D20" s="40">
        <v>40.92</v>
      </c>
      <c r="E20" s="135">
        <v>-134.887</v>
      </c>
      <c r="F20" s="40">
        <v>0.17499999999999999</v>
      </c>
      <c r="G20" s="40">
        <v>8.3000000000000004E-2</v>
      </c>
      <c r="H20" s="40"/>
      <c r="I20" s="40">
        <v>245.99</v>
      </c>
      <c r="J20" s="40">
        <v>0.3</v>
      </c>
      <c r="K20" s="40">
        <v>92.58</v>
      </c>
      <c r="P20" s="57">
        <f t="shared" si="0"/>
        <v>0.9160769618323864</v>
      </c>
      <c r="Q20" s="57">
        <f t="shared" si="1"/>
        <v>1.3175563743513263</v>
      </c>
      <c r="R20" s="57">
        <f t="shared" si="2"/>
        <v>0.6470363204643188</v>
      </c>
    </row>
    <row r="21" spans="1:18" x14ac:dyDescent="0.25">
      <c r="A21">
        <v>19</v>
      </c>
      <c r="B21" s="40">
        <v>989.95</v>
      </c>
      <c r="C21" s="40">
        <v>1698.26</v>
      </c>
      <c r="D21" s="40">
        <v>40.909999999999997</v>
      </c>
      <c r="E21" s="135">
        <v>-134.887</v>
      </c>
      <c r="F21" s="40">
        <v>0.17499999999999999</v>
      </c>
      <c r="G21" s="40">
        <v>8.3000000000000004E-2</v>
      </c>
      <c r="H21" s="40"/>
      <c r="I21" s="40">
        <v>246</v>
      </c>
      <c r="J21" s="40">
        <v>0.28999999999999998</v>
      </c>
      <c r="K21" s="40">
        <v>92.57</v>
      </c>
      <c r="P21" s="57">
        <f t="shared" si="0"/>
        <v>0.90404479977491181</v>
      </c>
      <c r="Q21" s="57">
        <f t="shared" si="1"/>
        <v>1.3175563743513263</v>
      </c>
      <c r="R21" s="57">
        <f t="shared" si="2"/>
        <v>0.65366352200500799</v>
      </c>
    </row>
    <row r="22" spans="1:18" x14ac:dyDescent="0.25">
      <c r="A22">
        <v>20</v>
      </c>
      <c r="B22" s="40">
        <v>989.94</v>
      </c>
      <c r="C22" s="40">
        <v>1698.24</v>
      </c>
      <c r="D22" s="40">
        <v>40.9</v>
      </c>
      <c r="E22" s="135">
        <v>-134.886</v>
      </c>
      <c r="F22" s="40">
        <v>0.17399999999999999</v>
      </c>
      <c r="G22" s="40">
        <v>8.3000000000000004E-2</v>
      </c>
      <c r="H22" s="40"/>
      <c r="I22" s="40">
        <v>246</v>
      </c>
      <c r="J22" s="40">
        <v>0.28999999999999998</v>
      </c>
      <c r="K22" s="40">
        <v>92.57</v>
      </c>
      <c r="P22" s="57">
        <f t="shared" si="0"/>
        <v>0.89068344545077915</v>
      </c>
      <c r="Q22" s="57">
        <f t="shared" si="1"/>
        <v>1.331972542927381</v>
      </c>
      <c r="R22" s="57">
        <f t="shared" si="2"/>
        <v>0.65366352200500799</v>
      </c>
    </row>
    <row r="23" spans="1:18" x14ac:dyDescent="0.25">
      <c r="A23">
        <v>21</v>
      </c>
      <c r="B23" s="134">
        <v>989.94</v>
      </c>
      <c r="C23" s="134">
        <v>1698.24</v>
      </c>
      <c r="D23" s="134">
        <v>40.9</v>
      </c>
      <c r="E23" s="134">
        <v>-134.886</v>
      </c>
      <c r="F23" s="134">
        <v>0.17399999999999999</v>
      </c>
      <c r="G23" s="134">
        <v>8.3000000000000004E-2</v>
      </c>
      <c r="H23" s="134"/>
      <c r="I23" s="134">
        <v>246</v>
      </c>
      <c r="J23" s="134">
        <v>0.28999999999999998</v>
      </c>
      <c r="K23" s="134">
        <v>92.57</v>
      </c>
      <c r="P23" s="57">
        <f t="shared" si="0"/>
        <v>0.89068344545077915</v>
      </c>
      <c r="Q23" s="57">
        <f t="shared" si="1"/>
        <v>1.331972542927381</v>
      </c>
      <c r="R23" s="57">
        <f t="shared" si="2"/>
        <v>0.65366352200500799</v>
      </c>
    </row>
    <row r="24" spans="1:18" x14ac:dyDescent="0.25">
      <c r="A24">
        <v>22</v>
      </c>
      <c r="B24" s="134">
        <v>989.95</v>
      </c>
      <c r="C24" s="134">
        <v>1698.24</v>
      </c>
      <c r="D24" s="134">
        <v>40.9</v>
      </c>
      <c r="E24" s="134">
        <v>-134.886</v>
      </c>
      <c r="F24" s="134">
        <v>0.17399999999999999</v>
      </c>
      <c r="G24" s="134">
        <v>8.3000000000000004E-2</v>
      </c>
      <c r="H24" s="134"/>
      <c r="I24" s="134">
        <v>246</v>
      </c>
      <c r="J24" s="134">
        <v>0.28000000000000003</v>
      </c>
      <c r="K24" s="134">
        <v>92.57</v>
      </c>
      <c r="P24" s="57">
        <f t="shared" si="0"/>
        <v>0.88535699014582847</v>
      </c>
      <c r="Q24" s="57">
        <f t="shared" si="1"/>
        <v>1.331972542927381</v>
      </c>
      <c r="R24" s="57">
        <f t="shared" si="2"/>
        <v>0.65358702557501214</v>
      </c>
    </row>
    <row r="25" spans="1:18" x14ac:dyDescent="0.25">
      <c r="A25">
        <v>23</v>
      </c>
      <c r="B25" s="134">
        <v>989.95</v>
      </c>
      <c r="C25" s="134">
        <v>1698.26</v>
      </c>
      <c r="D25" s="134">
        <v>40.9</v>
      </c>
      <c r="E25" s="134">
        <v>-134.886</v>
      </c>
      <c r="F25" s="134">
        <v>0.17499999999999999</v>
      </c>
      <c r="G25" s="134">
        <v>8.3000000000000004E-2</v>
      </c>
      <c r="H25" s="134"/>
      <c r="I25" s="134">
        <v>246.01</v>
      </c>
      <c r="J25" s="134">
        <v>0.28000000000000003</v>
      </c>
      <c r="K25" s="134">
        <v>92.57</v>
      </c>
      <c r="P25" s="57">
        <f t="shared" si="0"/>
        <v>0.89885315819663358</v>
      </c>
      <c r="Q25" s="57">
        <f t="shared" si="1"/>
        <v>1.3342129985362527</v>
      </c>
      <c r="R25" s="57">
        <f t="shared" si="2"/>
        <v>0.6632314829680358</v>
      </c>
    </row>
    <row r="26" spans="1:18" x14ac:dyDescent="0.25">
      <c r="A26">
        <v>24</v>
      </c>
      <c r="B26" s="134">
        <v>989.94</v>
      </c>
      <c r="C26" s="134">
        <v>1698.26</v>
      </c>
      <c r="D26" s="134">
        <v>40.909999999999997</v>
      </c>
      <c r="E26" s="134">
        <v>-134.886</v>
      </c>
      <c r="F26" s="134">
        <v>0.17499999999999999</v>
      </c>
      <c r="G26" s="134">
        <v>8.3000000000000004E-2</v>
      </c>
      <c r="H26" s="134"/>
      <c r="I26" s="134">
        <v>246.01</v>
      </c>
      <c r="J26" s="134">
        <v>0.28999999999999998</v>
      </c>
      <c r="K26" s="134">
        <v>92.57</v>
      </c>
      <c r="P26" s="57">
        <f t="shared" si="0"/>
        <v>0.90926178848561046</v>
      </c>
      <c r="Q26" s="57">
        <f t="shared" si="1"/>
        <v>1.3342129985362527</v>
      </c>
      <c r="R26" s="57">
        <f t="shared" si="2"/>
        <v>0.66330686714369236</v>
      </c>
    </row>
    <row r="27" spans="1:18" x14ac:dyDescent="0.25">
      <c r="A27">
        <v>25</v>
      </c>
      <c r="B27" s="40">
        <v>989.94</v>
      </c>
      <c r="C27" s="40">
        <v>1698.26</v>
      </c>
      <c r="D27" s="40">
        <v>40.909999999999997</v>
      </c>
      <c r="E27" s="135">
        <v>-134.886</v>
      </c>
      <c r="F27" s="40">
        <v>0.17499999999999999</v>
      </c>
      <c r="G27" s="40">
        <v>8.3000000000000004E-2</v>
      </c>
      <c r="H27" s="40"/>
      <c r="I27" s="40">
        <v>246.01</v>
      </c>
      <c r="J27" s="40">
        <v>0.28999999999999998</v>
      </c>
      <c r="K27" s="40">
        <v>92.57</v>
      </c>
      <c r="P27" s="57">
        <f t="shared" si="0"/>
        <v>0.90926178848561046</v>
      </c>
      <c r="Q27" s="57">
        <f t="shared" si="1"/>
        <v>1.3342129985362527</v>
      </c>
      <c r="R27" s="57">
        <f t="shared" si="2"/>
        <v>0.66330686714369236</v>
      </c>
    </row>
    <row r="28" spans="1:18" x14ac:dyDescent="0.25">
      <c r="A28">
        <v>26</v>
      </c>
      <c r="B28" s="40"/>
      <c r="C28" s="40"/>
      <c r="D28" s="40"/>
      <c r="E28" s="135"/>
      <c r="F28" s="40"/>
      <c r="G28" s="40"/>
      <c r="H28" s="40"/>
      <c r="I28" s="40"/>
      <c r="J28" s="40"/>
      <c r="K28" s="40"/>
      <c r="P28" s="57"/>
      <c r="Q28" s="57"/>
      <c r="R28" s="57"/>
    </row>
    <row r="29" spans="1:18" x14ac:dyDescent="0.25">
      <c r="A29">
        <v>27</v>
      </c>
      <c r="B29" s="40"/>
      <c r="C29" s="40"/>
      <c r="D29" s="40"/>
      <c r="E29" s="135"/>
      <c r="F29" s="40"/>
      <c r="G29" s="40"/>
      <c r="H29" s="40"/>
      <c r="I29" s="40"/>
      <c r="J29" s="40"/>
      <c r="K29" s="40"/>
      <c r="P29" s="57"/>
      <c r="Q29" s="57"/>
      <c r="R29" s="57"/>
    </row>
    <row r="30" spans="1:18" x14ac:dyDescent="0.25">
      <c r="A30">
        <v>28</v>
      </c>
      <c r="B30" s="40"/>
      <c r="C30" s="40"/>
      <c r="D30" s="40"/>
      <c r="E30" s="135"/>
      <c r="F30" s="40"/>
      <c r="G30" s="40"/>
      <c r="H30" s="40"/>
      <c r="I30" s="40"/>
      <c r="J30" s="40"/>
      <c r="K30" s="40"/>
      <c r="P30" s="57"/>
      <c r="Q30" s="57"/>
      <c r="R30" s="57"/>
    </row>
    <row r="31" spans="1:18" x14ac:dyDescent="0.25">
      <c r="A31">
        <v>29</v>
      </c>
      <c r="B31" s="40"/>
      <c r="C31" s="40"/>
      <c r="D31" s="40"/>
      <c r="E31" s="135"/>
      <c r="F31" s="40"/>
      <c r="G31" s="40"/>
      <c r="H31" s="40"/>
      <c r="I31" s="40"/>
      <c r="J31" s="40"/>
      <c r="K31" s="40"/>
      <c r="P31" s="57"/>
      <c r="Q31" s="57"/>
      <c r="R31" s="57"/>
    </row>
    <row r="32" spans="1:18" x14ac:dyDescent="0.25">
      <c r="A32">
        <v>30</v>
      </c>
      <c r="B32" s="40">
        <v>989.92</v>
      </c>
      <c r="C32" s="40">
        <v>1698.26</v>
      </c>
      <c r="D32" s="40">
        <v>40.909999999999997</v>
      </c>
      <c r="E32" s="135">
        <v>-134.88499999999999</v>
      </c>
      <c r="F32" s="40">
        <v>0.17399999999999999</v>
      </c>
      <c r="G32" s="40">
        <v>8.3000000000000004E-2</v>
      </c>
      <c r="H32" s="40"/>
      <c r="I32" s="40">
        <v>246.02</v>
      </c>
      <c r="J32" s="40">
        <v>0.31</v>
      </c>
      <c r="K32" s="40">
        <v>92.57</v>
      </c>
      <c r="P32" s="57">
        <f t="shared" ref="P32" si="3">SQRT((B32-$B$1)^2+(C32-$C$1)^2+(D32-$D$1)^2)</f>
        <v>0.91993314974521068</v>
      </c>
      <c r="Q32" s="57">
        <f t="shared" ref="Q32" si="4">SQRT(((E32-$E$1)*PI()/180*1000)^2+((F32-$F$1)*PI()/180*1000)^2*((G32-$G$1)*PI()/180*1000)^2)</f>
        <v>1.3486769872068329</v>
      </c>
      <c r="R32" s="57">
        <f t="shared" ref="R32" si="5">SQRT((I32-$I$1)^2+(J32-$J$1)^2+(K32-$K$1)^2)</f>
        <v>0.67355474907390023</v>
      </c>
    </row>
    <row r="33" spans="1:18" x14ac:dyDescent="0.25">
      <c r="A33">
        <v>31</v>
      </c>
      <c r="B33" s="40"/>
      <c r="C33" s="40"/>
      <c r="D33" s="40"/>
      <c r="E33" s="135"/>
      <c r="F33" s="40"/>
      <c r="G33" s="40"/>
      <c r="H33" s="40"/>
      <c r="I33" s="40"/>
      <c r="J33" s="40"/>
      <c r="K33" s="40"/>
      <c r="P33" s="57"/>
      <c r="Q33" s="57"/>
      <c r="R33" s="57"/>
    </row>
    <row r="34" spans="1:18" x14ac:dyDescent="0.25">
      <c r="A34">
        <v>32</v>
      </c>
      <c r="B34" s="40"/>
      <c r="C34" s="40"/>
      <c r="D34" s="40"/>
      <c r="E34" s="135"/>
      <c r="F34" s="40"/>
      <c r="G34" s="40"/>
      <c r="H34" s="40"/>
      <c r="I34" s="40"/>
      <c r="J34" s="40"/>
      <c r="K34" s="40"/>
      <c r="P34" s="57"/>
      <c r="Q34" s="57"/>
      <c r="R34" s="57"/>
    </row>
    <row r="35" spans="1:18" x14ac:dyDescent="0.25">
      <c r="A35">
        <v>33</v>
      </c>
      <c r="B35" s="40"/>
      <c r="C35" s="40"/>
      <c r="D35" s="40"/>
      <c r="E35" s="135"/>
      <c r="F35" s="40"/>
      <c r="G35" s="40"/>
      <c r="H35" s="40"/>
      <c r="I35" s="40"/>
      <c r="J35" s="40"/>
      <c r="K35" s="40"/>
      <c r="P35" s="57"/>
      <c r="Q35" s="57"/>
      <c r="R35" s="57"/>
    </row>
    <row r="36" spans="1:18" x14ac:dyDescent="0.25">
      <c r="A36">
        <v>34</v>
      </c>
      <c r="B36" s="40"/>
      <c r="C36" s="40"/>
      <c r="D36" s="40"/>
      <c r="E36" s="135"/>
      <c r="F36" s="40"/>
      <c r="G36" s="40"/>
      <c r="H36" s="40"/>
      <c r="I36" s="40"/>
      <c r="J36" s="40"/>
      <c r="K36" s="40"/>
      <c r="P36" s="57"/>
      <c r="Q36" s="57"/>
      <c r="R36" s="57"/>
    </row>
    <row r="37" spans="1:18" x14ac:dyDescent="0.25">
      <c r="A37">
        <v>35</v>
      </c>
      <c r="B37" s="40">
        <v>989.89</v>
      </c>
      <c r="C37" s="40">
        <v>1698.26</v>
      </c>
      <c r="D37" s="40">
        <v>40.89</v>
      </c>
      <c r="E37" s="135">
        <v>-134.88499999999999</v>
      </c>
      <c r="F37" s="40">
        <v>0.17199999999999999</v>
      </c>
      <c r="G37" s="40">
        <v>8.3000000000000004E-2</v>
      </c>
      <c r="H37" s="40"/>
      <c r="I37" s="40">
        <v>246.05</v>
      </c>
      <c r="J37" s="40">
        <v>0.32</v>
      </c>
      <c r="K37" s="40">
        <v>92.57</v>
      </c>
      <c r="P37" s="57">
        <f t="shared" ref="P37" si="6">SQRT((B37-$B$1)^2+(C37-$C$1)^2+(D37-$D$1)^2)</f>
        <v>0.92657271706009225</v>
      </c>
      <c r="Q37" s="57">
        <f t="shared" ref="Q37" si="7">SQRT(((E37-$E$1)*PI()/180*1000)^2+((F37-$F$1)*PI()/180*1000)^2*((G37-$G$1)*PI()/180*1000)^2)</f>
        <v>1.3443699804245151</v>
      </c>
      <c r="R37" s="57">
        <f t="shared" ref="R37" si="8">SQRT((I37-$I$1)^2+(J37-$J$1)^2+(K37-$K$1)^2)</f>
        <v>0.70304765130110969</v>
      </c>
    </row>
    <row r="38" spans="1:18" x14ac:dyDescent="0.25">
      <c r="A38">
        <v>36</v>
      </c>
      <c r="B38" s="40"/>
      <c r="C38" s="40"/>
      <c r="D38" s="40"/>
      <c r="E38" s="135"/>
      <c r="F38" s="40"/>
      <c r="G38" s="40"/>
      <c r="H38" s="40"/>
      <c r="I38" s="40"/>
      <c r="J38" s="40"/>
      <c r="K38" s="40"/>
      <c r="P38" s="57"/>
      <c r="Q38" s="57"/>
      <c r="R38" s="57"/>
    </row>
    <row r="39" spans="1:18" x14ac:dyDescent="0.25">
      <c r="A39">
        <v>37</v>
      </c>
      <c r="B39" s="40"/>
      <c r="C39" s="40"/>
      <c r="D39" s="40"/>
      <c r="E39" s="135"/>
      <c r="F39" s="40"/>
      <c r="G39" s="40"/>
      <c r="H39" s="40"/>
      <c r="I39" s="40"/>
      <c r="J39" s="40"/>
      <c r="K39" s="40"/>
      <c r="P39" s="57"/>
      <c r="Q39" s="57"/>
      <c r="R39" s="57"/>
    </row>
    <row r="40" spans="1:18" x14ac:dyDescent="0.25">
      <c r="A40">
        <v>38</v>
      </c>
      <c r="B40" s="40"/>
      <c r="C40" s="40"/>
      <c r="D40" s="40"/>
      <c r="E40" s="135"/>
      <c r="F40" s="40"/>
      <c r="G40" s="40"/>
      <c r="H40" s="40"/>
      <c r="I40" s="40"/>
      <c r="J40" s="40"/>
      <c r="K40" s="40"/>
      <c r="P40" s="57"/>
      <c r="Q40" s="57"/>
      <c r="R40" s="57"/>
    </row>
    <row r="41" spans="1:18" x14ac:dyDescent="0.25">
      <c r="A41">
        <v>39</v>
      </c>
      <c r="B41" s="40"/>
      <c r="C41" s="40"/>
      <c r="D41" s="40"/>
      <c r="E41" s="135"/>
      <c r="F41" s="40"/>
      <c r="G41" s="40"/>
      <c r="H41" s="40"/>
      <c r="I41" s="40"/>
      <c r="J41" s="40"/>
      <c r="K41" s="40"/>
      <c r="P41" s="57"/>
      <c r="Q41" s="57"/>
      <c r="R41" s="57"/>
    </row>
    <row r="42" spans="1:18" x14ac:dyDescent="0.25">
      <c r="A42">
        <v>40</v>
      </c>
      <c r="B42" s="40">
        <v>989.89</v>
      </c>
      <c r="C42" s="40">
        <v>1698.27</v>
      </c>
      <c r="D42" s="40">
        <v>40.880000000000003</v>
      </c>
      <c r="E42" s="135">
        <v>-134.88499999999999</v>
      </c>
      <c r="F42" s="40">
        <v>0.17199999999999999</v>
      </c>
      <c r="G42" s="40">
        <v>8.4000000000000005E-2</v>
      </c>
      <c r="H42" s="40"/>
      <c r="I42" s="40">
        <v>246.05</v>
      </c>
      <c r="J42" s="40">
        <v>0.31</v>
      </c>
      <c r="K42" s="40">
        <v>92.57</v>
      </c>
      <c r="P42" s="57">
        <f t="shared" ref="P42" si="9">SQRT((B42-$B$1)^2+(C42-$C$1)^2+(D42-$D$1)^2)</f>
        <v>0.92839485134295829</v>
      </c>
      <c r="Q42" s="57">
        <f t="shared" ref="Q42" si="10">SQRT(((E42-$E$1)*PI()/180*1000)^2+((F42-$F$1)*PI()/180*1000)^2*((G42-$G$1)*PI()/180*1000)^2)</f>
        <v>1.3403036167343241</v>
      </c>
      <c r="R42" s="57">
        <f t="shared" ref="R42" si="11">SQRT((I42-$I$1)^2+(J42-$J$1)^2+(K42-$K$1)^2)</f>
        <v>0.70254964237412199</v>
      </c>
    </row>
    <row r="43" spans="1:18" x14ac:dyDescent="0.25">
      <c r="A43">
        <v>41</v>
      </c>
      <c r="B43" s="40"/>
      <c r="C43" s="40"/>
      <c r="D43" s="40"/>
      <c r="E43" s="135"/>
      <c r="F43" s="40"/>
      <c r="G43" s="40"/>
      <c r="H43" s="40"/>
      <c r="I43" s="40"/>
      <c r="J43" s="40"/>
      <c r="K43" s="40"/>
      <c r="P43" s="57"/>
      <c r="Q43" s="57"/>
      <c r="R43" s="57"/>
    </row>
    <row r="44" spans="1:18" x14ac:dyDescent="0.25">
      <c r="A44">
        <v>42</v>
      </c>
      <c r="B44" s="40"/>
      <c r="C44" s="40"/>
      <c r="D44" s="40"/>
      <c r="E44" s="135"/>
      <c r="F44" s="40"/>
      <c r="G44" s="40"/>
      <c r="H44" s="40"/>
      <c r="I44" s="40"/>
      <c r="J44" s="40"/>
      <c r="K44" s="40"/>
      <c r="P44" s="57"/>
      <c r="Q44" s="57"/>
      <c r="R44" s="57"/>
    </row>
    <row r="45" spans="1:18" x14ac:dyDescent="0.25">
      <c r="A45">
        <v>43</v>
      </c>
      <c r="B45" s="40"/>
      <c r="C45" s="40"/>
      <c r="D45" s="40"/>
      <c r="E45" s="135"/>
      <c r="F45" s="40"/>
      <c r="G45" s="40"/>
      <c r="H45" s="40"/>
      <c r="I45" s="40"/>
      <c r="J45" s="40"/>
      <c r="K45" s="40"/>
      <c r="P45" s="57"/>
      <c r="Q45" s="57"/>
      <c r="R45" s="57"/>
    </row>
    <row r="46" spans="1:18" x14ac:dyDescent="0.25">
      <c r="A46">
        <v>44</v>
      </c>
      <c r="B46" s="40"/>
      <c r="C46" s="40"/>
      <c r="D46" s="40"/>
      <c r="E46" s="135"/>
      <c r="F46" s="40"/>
      <c r="G46" s="40"/>
      <c r="H46" s="40"/>
      <c r="I46" s="40"/>
      <c r="J46" s="40"/>
      <c r="K46" s="40"/>
      <c r="P46" s="57"/>
      <c r="Q46" s="57"/>
      <c r="R46" s="57"/>
    </row>
    <row r="47" spans="1:18" x14ac:dyDescent="0.25">
      <c r="A47">
        <v>45</v>
      </c>
      <c r="B47" s="40">
        <v>989.91</v>
      </c>
      <c r="C47" s="40">
        <v>1698.25</v>
      </c>
      <c r="D47" s="40">
        <v>40.880000000000003</v>
      </c>
      <c r="E47" s="135">
        <v>-134.88499999999999</v>
      </c>
      <c r="F47" s="40">
        <v>0.17199999999999999</v>
      </c>
      <c r="G47" s="40">
        <v>8.4000000000000005E-2</v>
      </c>
      <c r="H47" s="40"/>
      <c r="I47" s="40">
        <v>246.05</v>
      </c>
      <c r="J47" s="40">
        <v>0.31</v>
      </c>
      <c r="K47" s="40">
        <v>92.57</v>
      </c>
      <c r="P47" s="57">
        <f t="shared" ref="P47" si="12">SQRT((B47-$B$1)^2+(C47-$C$1)^2+(D47-$D$1)^2)</f>
        <v>0.9037239622806017</v>
      </c>
      <c r="Q47" s="57">
        <f>SQRT(((E47-$E$1)*PI()/180*1000)^2+((F47-$F$1)*PI()/180*1000)^2*((G47-$G$1)*PI()/180*1000)^2)</f>
        <v>1.3403036167343241</v>
      </c>
      <c r="R47" s="57">
        <f>SQRT((I47-$I$1)^2+(J47-$J$1)^2+(K47-$K$1)^2)</f>
        <v>0.70254964237412199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EF2-A2F0-43BE-ABF7-2DFDEF958109}">
  <dimension ref="A1:S38"/>
  <sheetViews>
    <sheetView topLeftCell="A7" zoomScale="85" zoomScaleNormal="85" workbookViewId="0">
      <selection activeCell="H44" sqref="H44"/>
    </sheetView>
  </sheetViews>
  <sheetFormatPr baseColWidth="10" defaultRowHeight="15" x14ac:dyDescent="0.25"/>
  <cols>
    <col min="16" max="16" width="25" customWidth="1"/>
    <col min="17" max="17" width="22.7109375" customWidth="1"/>
    <col min="18" max="18" width="25.42578125" customWidth="1"/>
  </cols>
  <sheetData>
    <row r="1" spans="1:19" x14ac:dyDescent="0.25">
      <c r="A1" s="42" t="s">
        <v>1</v>
      </c>
      <c r="B1">
        <v>990.41800000000001</v>
      </c>
      <c r="C1">
        <v>1697.6479999999999</v>
      </c>
      <c r="D1">
        <v>40.436999999999998</v>
      </c>
      <c r="E1">
        <v>-134.959</v>
      </c>
      <c r="F1">
        <v>0.123</v>
      </c>
      <c r="G1">
        <v>0.108</v>
      </c>
      <c r="H1" s="42" t="s">
        <v>164</v>
      </c>
      <c r="I1">
        <v>245.37</v>
      </c>
      <c r="J1">
        <v>0.28000000000000003</v>
      </c>
      <c r="K1">
        <v>92.396000000000001</v>
      </c>
      <c r="L1">
        <v>0.15</v>
      </c>
      <c r="M1">
        <v>90.01</v>
      </c>
      <c r="N1">
        <v>0.2</v>
      </c>
      <c r="P1" t="s">
        <v>423</v>
      </c>
      <c r="Q1" t="s">
        <v>425</v>
      </c>
      <c r="R1" t="s">
        <v>424</v>
      </c>
    </row>
    <row r="2" spans="1:19" x14ac:dyDescent="0.25">
      <c r="I2" s="40"/>
    </row>
    <row r="3" spans="1:19" x14ac:dyDescent="0.25">
      <c r="A3" t="s">
        <v>7</v>
      </c>
    </row>
    <row r="4" spans="1:19" x14ac:dyDescent="0.25">
      <c r="A4">
        <v>8</v>
      </c>
      <c r="B4" s="40">
        <v>990.08</v>
      </c>
      <c r="C4" s="40">
        <v>1698.34</v>
      </c>
      <c r="D4" s="40">
        <v>40.799999999999997</v>
      </c>
      <c r="E4" s="135">
        <v>-134.88800000000001</v>
      </c>
      <c r="F4" s="40">
        <v>0.17199999999999999</v>
      </c>
      <c r="G4" s="40">
        <v>8.3000000000000004E-2</v>
      </c>
      <c r="H4" s="40"/>
      <c r="I4" s="40">
        <v>245.96</v>
      </c>
      <c r="J4" s="40">
        <v>0.32</v>
      </c>
      <c r="K4" s="40">
        <v>92.66</v>
      </c>
      <c r="P4" s="57">
        <f t="shared" ref="P4" si="0">SQRT((B4-$B$1)^2+(C4-$C$1)^2+(D4-$D$1)^2)</f>
        <v>0.85139708714558471</v>
      </c>
      <c r="Q4" s="57">
        <f t="shared" ref="Q4" si="1">SQRT(((E4-$E$1)*PI()/180*1000)^2+((F4-$F$1)*PI()/180*1000)^2*((G4-$G$1)*PI()/180*1000)^2)</f>
        <v>1.2941491670818903</v>
      </c>
      <c r="R4" s="57">
        <f t="shared" ref="R4" si="2">SQRT((I4-$I$1)^2+(J4-$J$1)^2+(K4-$K$1)^2)</f>
        <v>0.64760790606662744</v>
      </c>
      <c r="S4" s="57">
        <f>P4+Q4+R4</f>
        <v>2.7931541602941024</v>
      </c>
    </row>
    <row r="5" spans="1:19" x14ac:dyDescent="0.25">
      <c r="A5">
        <v>9</v>
      </c>
      <c r="B5" s="40">
        <v>990.06</v>
      </c>
      <c r="C5" s="40">
        <v>1698.35</v>
      </c>
      <c r="D5" s="40">
        <v>40.82</v>
      </c>
      <c r="E5" s="40">
        <v>-134.887</v>
      </c>
      <c r="F5" s="40">
        <v>0.17299999999999999</v>
      </c>
      <c r="G5" s="40">
        <v>8.3000000000000004E-2</v>
      </c>
      <c r="H5" s="40"/>
      <c r="I5" s="40">
        <v>245.97</v>
      </c>
      <c r="J5" s="40">
        <v>0.34</v>
      </c>
      <c r="K5" s="40">
        <v>92.65</v>
      </c>
      <c r="P5" s="57">
        <f t="shared" ref="P5:P29" si="3">SQRT((B5-$B$1)^2+(C5-$C$1)^2+(D5-$D$1)^2)</f>
        <v>0.87616037344771713</v>
      </c>
      <c r="Q5" s="57">
        <f t="shared" ref="Q5:Q29" si="4">SQRT(((E5-$E$1)*PI()/180*1000)^2+((F5-$F$1)*PI()/180*1000)^2*((G5-$G$1)*PI()/180*1000)^2)</f>
        <v>1.3130589661580432</v>
      </c>
      <c r="R5" s="57">
        <f t="shared" ref="R5:R29" si="5">SQRT((I5-$I$1)^2+(J5-$J$1)^2+(K5-$K$1)^2)</f>
        <v>0.654305738932493</v>
      </c>
      <c r="S5" s="57">
        <f t="shared" ref="S5:S29" si="6">P5+Q5+R5</f>
        <v>2.8435250785382533</v>
      </c>
    </row>
    <row r="6" spans="1:19" x14ac:dyDescent="0.25">
      <c r="A6">
        <v>10</v>
      </c>
      <c r="B6" s="40">
        <v>990.06</v>
      </c>
      <c r="C6" s="40">
        <v>1698.36</v>
      </c>
      <c r="D6" s="40">
        <v>40.83</v>
      </c>
      <c r="E6" s="40">
        <v>-134.887</v>
      </c>
      <c r="F6" s="40">
        <v>0.17199999999999999</v>
      </c>
      <c r="G6" s="40">
        <v>8.1000000000000003E-2</v>
      </c>
      <c r="H6" s="40"/>
      <c r="I6" s="40">
        <v>245.96</v>
      </c>
      <c r="J6" s="40">
        <v>0.34</v>
      </c>
      <c r="K6" s="40">
        <v>92.67</v>
      </c>
      <c r="P6" s="57">
        <f t="shared" si="3"/>
        <v>0.8885701998154274</v>
      </c>
      <c r="Q6" s="57">
        <f t="shared" si="4"/>
        <v>1.3196790649370758</v>
      </c>
      <c r="R6" s="57">
        <f t="shared" si="5"/>
        <v>0.65328095028096789</v>
      </c>
      <c r="S6" s="57">
        <f t="shared" si="6"/>
        <v>2.8615302150334707</v>
      </c>
    </row>
    <row r="7" spans="1:19" x14ac:dyDescent="0.25">
      <c r="A7">
        <v>11</v>
      </c>
      <c r="B7" s="40">
        <v>989.98</v>
      </c>
      <c r="C7" s="40">
        <v>1698.26</v>
      </c>
      <c r="D7" s="40">
        <v>40.79</v>
      </c>
      <c r="E7" s="40">
        <v>-134.886</v>
      </c>
      <c r="F7" s="40">
        <v>0.16700000000000001</v>
      </c>
      <c r="G7" s="40">
        <v>8.2000000000000003E-2</v>
      </c>
      <c r="H7" s="40"/>
      <c r="I7" s="40">
        <v>245.99</v>
      </c>
      <c r="J7" s="40">
        <v>0.31</v>
      </c>
      <c r="K7" s="40">
        <v>92.63</v>
      </c>
      <c r="P7" s="57">
        <f t="shared" si="3"/>
        <v>0.83126229314223599</v>
      </c>
      <c r="Q7" s="57">
        <f t="shared" si="4"/>
        <v>1.3208883991982379</v>
      </c>
      <c r="R7" s="57">
        <f t="shared" si="5"/>
        <v>0.66336716831631271</v>
      </c>
      <c r="S7" s="57">
        <f t="shared" si="6"/>
        <v>2.8155178606567866</v>
      </c>
    </row>
    <row r="8" spans="1:19" x14ac:dyDescent="0.25">
      <c r="A8">
        <v>12</v>
      </c>
      <c r="B8" s="40">
        <v>990.02</v>
      </c>
      <c r="C8" s="40">
        <v>1698.28</v>
      </c>
      <c r="D8" s="40">
        <v>40.79</v>
      </c>
      <c r="E8" s="40">
        <v>-134.886</v>
      </c>
      <c r="F8" s="40">
        <v>0.17</v>
      </c>
      <c r="G8" s="40">
        <v>8.2000000000000003E-2</v>
      </c>
      <c r="H8" s="40"/>
      <c r="I8" s="40">
        <v>246</v>
      </c>
      <c r="J8" s="40">
        <v>0.28999999999999998</v>
      </c>
      <c r="K8" s="40">
        <v>92.64</v>
      </c>
      <c r="P8" s="57">
        <f t="shared" si="3"/>
        <v>0.82609745187846861</v>
      </c>
      <c r="Q8" s="57">
        <f t="shared" si="4"/>
        <v>1.3273547751661126</v>
      </c>
      <c r="R8" s="57">
        <f t="shared" si="5"/>
        <v>0.6756744778367717</v>
      </c>
      <c r="S8" s="57">
        <f t="shared" si="6"/>
        <v>2.8291267048813529</v>
      </c>
    </row>
    <row r="9" spans="1:19" x14ac:dyDescent="0.25">
      <c r="A9">
        <v>13</v>
      </c>
      <c r="B9" s="40" t="s">
        <v>231</v>
      </c>
      <c r="C9" s="40" t="s">
        <v>232</v>
      </c>
      <c r="D9" s="40" t="s">
        <v>220</v>
      </c>
      <c r="E9" s="135">
        <v>-134.88499999999999</v>
      </c>
      <c r="F9" s="40" t="s">
        <v>227</v>
      </c>
      <c r="G9" s="40" t="s">
        <v>186</v>
      </c>
      <c r="H9" s="40"/>
      <c r="I9" s="40" t="s">
        <v>222</v>
      </c>
      <c r="J9" s="40" t="s">
        <v>229</v>
      </c>
      <c r="K9" s="40" t="s">
        <v>224</v>
      </c>
      <c r="P9" s="57">
        <f t="shared" si="3"/>
        <v>0.84627241476965953</v>
      </c>
      <c r="Q9" s="57">
        <f t="shared" si="4"/>
        <v>1.3523265059145699</v>
      </c>
      <c r="R9" s="57">
        <f t="shared" si="5"/>
        <v>0.66276390969937637</v>
      </c>
      <c r="S9" s="57">
        <f t="shared" si="6"/>
        <v>2.8613628303836056</v>
      </c>
    </row>
    <row r="10" spans="1:19" x14ac:dyDescent="0.25">
      <c r="A10">
        <v>14</v>
      </c>
      <c r="B10" s="40" t="s">
        <v>231</v>
      </c>
      <c r="C10" s="40" t="s">
        <v>204</v>
      </c>
      <c r="D10" s="40" t="s">
        <v>220</v>
      </c>
      <c r="E10" s="135">
        <v>-134.88399999999999</v>
      </c>
      <c r="F10" s="40" t="s">
        <v>199</v>
      </c>
      <c r="G10" s="40" t="s">
        <v>200</v>
      </c>
      <c r="H10" s="40"/>
      <c r="I10" s="40" t="s">
        <v>233</v>
      </c>
      <c r="J10" s="40" t="s">
        <v>223</v>
      </c>
      <c r="K10" s="40" t="s">
        <v>213</v>
      </c>
      <c r="P10" s="57">
        <f t="shared" si="3"/>
        <v>0.87746054042334221</v>
      </c>
      <c r="Q10" s="57">
        <f t="shared" si="4"/>
        <v>1.3653135482891106</v>
      </c>
      <c r="R10" s="57">
        <f t="shared" si="5"/>
        <v>0.69850984245034797</v>
      </c>
      <c r="S10" s="57">
        <f t="shared" si="6"/>
        <v>2.9412839311628005</v>
      </c>
    </row>
    <row r="11" spans="1:19" x14ac:dyDescent="0.25">
      <c r="A11">
        <v>15</v>
      </c>
      <c r="B11" s="40" t="s">
        <v>234</v>
      </c>
      <c r="C11" s="40" t="s">
        <v>235</v>
      </c>
      <c r="D11" s="40" t="s">
        <v>198</v>
      </c>
      <c r="E11" s="135">
        <v>-134.88399999999999</v>
      </c>
      <c r="F11" s="40" t="s">
        <v>193</v>
      </c>
      <c r="G11" s="40" t="s">
        <v>200</v>
      </c>
      <c r="H11" s="40"/>
      <c r="I11" s="40" t="s">
        <v>187</v>
      </c>
      <c r="J11" s="40" t="s">
        <v>236</v>
      </c>
      <c r="K11" s="40" t="s">
        <v>213</v>
      </c>
      <c r="P11" s="57">
        <f t="shared" si="3"/>
        <v>0.86741973692096397</v>
      </c>
      <c r="Q11" s="57">
        <f t="shared" si="4"/>
        <v>1.363083468845371</v>
      </c>
      <c r="R11" s="57">
        <f t="shared" si="5"/>
        <v>0.72616527044469137</v>
      </c>
      <c r="S11" s="57">
        <f t="shared" si="6"/>
        <v>2.9566684762110267</v>
      </c>
    </row>
    <row r="12" spans="1:19" x14ac:dyDescent="0.25">
      <c r="A12" t="s">
        <v>8</v>
      </c>
      <c r="B12" s="40"/>
      <c r="C12" s="40"/>
      <c r="D12" s="40"/>
      <c r="E12" s="135"/>
      <c r="F12" s="40"/>
      <c r="G12" s="40"/>
      <c r="H12" s="40"/>
      <c r="I12" s="40"/>
      <c r="J12" s="40"/>
      <c r="K12" s="40"/>
      <c r="P12" s="57"/>
      <c r="Q12" s="57"/>
      <c r="R12" s="57"/>
      <c r="S12" s="57"/>
    </row>
    <row r="13" spans="1:19" x14ac:dyDescent="0.25">
      <c r="A13">
        <v>8</v>
      </c>
      <c r="B13" s="134">
        <v>990.05</v>
      </c>
      <c r="C13" s="134">
        <v>1698.5</v>
      </c>
      <c r="D13" s="134">
        <v>40.82</v>
      </c>
      <c r="E13" s="134">
        <v>-134.87899999999999</v>
      </c>
      <c r="F13" s="134">
        <v>0.18</v>
      </c>
      <c r="G13" s="134">
        <v>8.4000000000000005E-2</v>
      </c>
      <c r="H13" s="134"/>
      <c r="I13" s="134">
        <v>246.11</v>
      </c>
      <c r="J13" s="134">
        <v>0.38</v>
      </c>
      <c r="K13" s="134">
        <v>92.67</v>
      </c>
      <c r="P13" s="57">
        <f t="shared" si="3"/>
        <v>1.0040004980079402</v>
      </c>
      <c r="Q13" s="57">
        <f t="shared" si="4"/>
        <v>1.4571219017562127</v>
      </c>
      <c r="R13" s="57">
        <f t="shared" si="5"/>
        <v>0.79540932858498326</v>
      </c>
      <c r="S13" s="57">
        <f t="shared" si="6"/>
        <v>3.2565317283491364</v>
      </c>
    </row>
    <row r="14" spans="1:19" x14ac:dyDescent="0.25">
      <c r="A14">
        <v>9</v>
      </c>
      <c r="B14" s="134">
        <v>989.96</v>
      </c>
      <c r="C14" s="134">
        <v>1698.45</v>
      </c>
      <c r="D14" s="134">
        <v>40.840000000000003</v>
      </c>
      <c r="E14" s="134">
        <v>-134.87700000000001</v>
      </c>
      <c r="F14" s="134">
        <v>0.17499999999999999</v>
      </c>
      <c r="G14" s="134">
        <v>8.3000000000000004E-2</v>
      </c>
      <c r="H14" s="134"/>
      <c r="I14" s="134">
        <v>246.09</v>
      </c>
      <c r="J14" s="134">
        <v>0.4</v>
      </c>
      <c r="K14" s="134">
        <v>92.65</v>
      </c>
      <c r="P14" s="57">
        <f t="shared" si="3"/>
        <v>1.0076591685685161</v>
      </c>
      <c r="Q14" s="57">
        <f t="shared" si="4"/>
        <v>1.4849463377728183</v>
      </c>
      <c r="R14" s="57">
        <f t="shared" si="5"/>
        <v>0.77286221281674838</v>
      </c>
      <c r="S14" s="57">
        <f t="shared" si="6"/>
        <v>3.2654677191580825</v>
      </c>
    </row>
    <row r="15" spans="1:19" x14ac:dyDescent="0.25">
      <c r="A15">
        <v>10</v>
      </c>
      <c r="B15" s="134">
        <v>989.96</v>
      </c>
      <c r="C15" s="134">
        <v>1698.41</v>
      </c>
      <c r="D15" s="134">
        <v>40.869999999999997</v>
      </c>
      <c r="E15" s="134">
        <v>-134.88</v>
      </c>
      <c r="F15" s="134">
        <v>0.17199999999999999</v>
      </c>
      <c r="G15" s="134">
        <v>8.1000000000000003E-2</v>
      </c>
      <c r="H15" s="134"/>
      <c r="I15" s="134">
        <v>246.07</v>
      </c>
      <c r="J15" s="134">
        <v>0.36</v>
      </c>
      <c r="K15" s="134">
        <v>92.61</v>
      </c>
      <c r="P15" s="57">
        <f t="shared" si="3"/>
        <v>0.98888674781303088</v>
      </c>
      <c r="Q15" s="57">
        <f t="shared" si="4"/>
        <v>1.4365004166891138</v>
      </c>
      <c r="R15" s="57">
        <f t="shared" si="5"/>
        <v>0.73633959556714279</v>
      </c>
      <c r="S15" s="57">
        <f t="shared" si="6"/>
        <v>3.1617267600692873</v>
      </c>
    </row>
    <row r="16" spans="1:19" x14ac:dyDescent="0.25">
      <c r="A16">
        <v>11</v>
      </c>
      <c r="B16" s="40">
        <v>989.94</v>
      </c>
      <c r="C16" s="40">
        <v>1698.37</v>
      </c>
      <c r="D16" s="40">
        <v>40.86</v>
      </c>
      <c r="E16" s="135">
        <v>-134.87899999999999</v>
      </c>
      <c r="F16" s="40">
        <v>0.17199999999999999</v>
      </c>
      <c r="G16" s="40">
        <v>8.2000000000000003E-2</v>
      </c>
      <c r="H16" s="40"/>
      <c r="I16" s="40">
        <v>246.07</v>
      </c>
      <c r="J16" s="40">
        <v>0.34</v>
      </c>
      <c r="K16" s="40">
        <v>92.59</v>
      </c>
      <c r="P16" s="57">
        <f t="shared" si="3"/>
        <v>0.96368926527170917</v>
      </c>
      <c r="Q16" s="57">
        <f t="shared" si="4"/>
        <v>1.4491927357933903</v>
      </c>
      <c r="R16" s="57">
        <f t="shared" si="5"/>
        <v>0.72885938287161056</v>
      </c>
      <c r="S16" s="57">
        <f t="shared" si="6"/>
        <v>3.1417413839367097</v>
      </c>
    </row>
    <row r="17" spans="1:19" x14ac:dyDescent="0.25">
      <c r="A17">
        <v>12</v>
      </c>
      <c r="B17" s="40">
        <v>989.92</v>
      </c>
      <c r="C17" s="40">
        <v>1698.37</v>
      </c>
      <c r="D17" s="40">
        <v>40.840000000000003</v>
      </c>
      <c r="E17" s="135">
        <v>-134.87899999999999</v>
      </c>
      <c r="F17" s="40">
        <v>0.17199999999999999</v>
      </c>
      <c r="G17" s="40">
        <v>8.2000000000000003E-2</v>
      </c>
      <c r="H17" s="40"/>
      <c r="I17" s="40">
        <v>246.1</v>
      </c>
      <c r="J17" s="40">
        <v>0.35</v>
      </c>
      <c r="K17" s="40">
        <v>92.6</v>
      </c>
      <c r="P17" s="57">
        <f t="shared" si="3"/>
        <v>0.96524452860403354</v>
      </c>
      <c r="Q17" s="57">
        <f t="shared" si="4"/>
        <v>1.4491927357933903</v>
      </c>
      <c r="R17" s="57">
        <f t="shared" si="5"/>
        <v>0.76119379923905217</v>
      </c>
      <c r="S17" s="57">
        <f t="shared" si="6"/>
        <v>3.1756310636364762</v>
      </c>
    </row>
    <row r="18" spans="1:19" x14ac:dyDescent="0.25">
      <c r="A18">
        <v>13</v>
      </c>
      <c r="B18" s="40">
        <v>989.93</v>
      </c>
      <c r="C18" s="40">
        <v>1698.37</v>
      </c>
      <c r="D18" s="40">
        <v>40.840000000000003</v>
      </c>
      <c r="E18" s="136">
        <v>-134.87899999999999</v>
      </c>
      <c r="F18" s="40">
        <v>0.17299999999999999</v>
      </c>
      <c r="G18" s="40">
        <v>8.3000000000000004E-2</v>
      </c>
      <c r="H18" s="40"/>
      <c r="I18" s="40">
        <v>246.11</v>
      </c>
      <c r="J18" s="40">
        <v>0.34</v>
      </c>
      <c r="K18" s="40">
        <v>92.6</v>
      </c>
      <c r="P18" s="57">
        <f t="shared" si="3"/>
        <v>0.96012342956519448</v>
      </c>
      <c r="Q18" s="57">
        <f t="shared" si="4"/>
        <v>1.4472520965848197</v>
      </c>
      <c r="R18" s="57">
        <f t="shared" si="5"/>
        <v>0.76994545261337233</v>
      </c>
      <c r="S18" s="57">
        <f t="shared" si="6"/>
        <v>3.1773209787633867</v>
      </c>
    </row>
    <row r="19" spans="1:19" x14ac:dyDescent="0.25">
      <c r="A19">
        <v>14</v>
      </c>
      <c r="B19" s="40">
        <v>989.94</v>
      </c>
      <c r="C19" s="40">
        <v>1698.37</v>
      </c>
      <c r="D19" s="40">
        <v>40.880000000000003</v>
      </c>
      <c r="E19" s="136">
        <v>-134.88</v>
      </c>
      <c r="F19" s="40">
        <v>0.17199999999999999</v>
      </c>
      <c r="G19" s="40">
        <v>8.2000000000000003E-2</v>
      </c>
      <c r="H19" s="40"/>
      <c r="I19" s="40">
        <v>246.07</v>
      </c>
      <c r="J19" s="40">
        <v>0.34</v>
      </c>
      <c r="K19" s="40">
        <v>92.58</v>
      </c>
      <c r="P19" s="57">
        <f t="shared" si="3"/>
        <v>0.97263405245751577</v>
      </c>
      <c r="Q19" s="57">
        <f t="shared" si="4"/>
        <v>1.4323845209056145</v>
      </c>
      <c r="R19" s="57">
        <f t="shared" si="5"/>
        <v>0.7262616608358059</v>
      </c>
      <c r="S19" s="57">
        <f t="shared" si="6"/>
        <v>3.1312802341989361</v>
      </c>
    </row>
    <row r="20" spans="1:19" x14ac:dyDescent="0.25">
      <c r="A20">
        <v>15</v>
      </c>
      <c r="B20" s="40">
        <v>989.92</v>
      </c>
      <c r="C20" s="40">
        <v>1698.38</v>
      </c>
      <c r="D20" s="40">
        <v>40.85</v>
      </c>
      <c r="E20" s="136">
        <v>-134.88</v>
      </c>
      <c r="F20" s="40">
        <v>0.17100000000000001</v>
      </c>
      <c r="G20" s="40">
        <v>8.3000000000000004E-2</v>
      </c>
      <c r="H20" s="40"/>
      <c r="I20" s="40">
        <v>246.09</v>
      </c>
      <c r="J20" s="40">
        <v>0.36</v>
      </c>
      <c r="K20" s="40">
        <v>92.6</v>
      </c>
      <c r="P20" s="57">
        <f t="shared" si="3"/>
        <v>0.97693244392861711</v>
      </c>
      <c r="Q20" s="57">
        <f t="shared" si="4"/>
        <v>1.4264422418027438</v>
      </c>
      <c r="R20" s="57">
        <f t="shared" si="5"/>
        <v>0.75260613869406867</v>
      </c>
      <c r="S20" s="57">
        <f t="shared" si="6"/>
        <v>3.1559808244254297</v>
      </c>
    </row>
    <row r="21" spans="1:19" x14ac:dyDescent="0.25">
      <c r="A21" t="s">
        <v>9</v>
      </c>
      <c r="B21" s="40"/>
      <c r="C21" s="40"/>
      <c r="D21" s="40"/>
      <c r="E21" s="135"/>
      <c r="F21" s="40"/>
      <c r="G21" s="40"/>
      <c r="H21" s="40"/>
      <c r="I21" s="40"/>
      <c r="J21" s="40"/>
      <c r="K21" s="40"/>
      <c r="P21" s="57"/>
      <c r="Q21" s="57"/>
      <c r="R21" s="57"/>
      <c r="S21" s="57"/>
    </row>
    <row r="22" spans="1:19" x14ac:dyDescent="0.25">
      <c r="A22">
        <v>8</v>
      </c>
      <c r="B22" s="40">
        <v>989.93</v>
      </c>
      <c r="C22" s="40">
        <v>1698.34</v>
      </c>
      <c r="D22" s="40">
        <v>40.57</v>
      </c>
      <c r="E22" s="135">
        <v>-134.892</v>
      </c>
      <c r="F22" s="40">
        <v>0.16400000000000001</v>
      </c>
      <c r="G22" s="40">
        <v>7.1999999999999995E-2</v>
      </c>
      <c r="H22" s="40"/>
      <c r="I22" s="40">
        <v>246.26</v>
      </c>
      <c r="J22" s="40">
        <v>0.21</v>
      </c>
      <c r="K22" s="40">
        <v>92.74</v>
      </c>
      <c r="P22" s="57">
        <f t="shared" si="3"/>
        <v>0.85714467856953169</v>
      </c>
      <c r="Q22" s="57">
        <f t="shared" si="4"/>
        <v>1.2528294081209368</v>
      </c>
      <c r="R22" s="57">
        <f t="shared" si="5"/>
        <v>0.95673193737847573</v>
      </c>
      <c r="S22" s="57">
        <f t="shared" si="6"/>
        <v>3.0667060240689441</v>
      </c>
    </row>
    <row r="23" spans="1:19" x14ac:dyDescent="0.25">
      <c r="A23">
        <v>9</v>
      </c>
      <c r="B23" s="40">
        <v>990.07</v>
      </c>
      <c r="C23" s="40">
        <v>1698.39</v>
      </c>
      <c r="D23" s="40">
        <v>40.72</v>
      </c>
      <c r="E23" s="135">
        <v>-134.88999999999999</v>
      </c>
      <c r="F23" s="40">
        <v>0.17599999999999999</v>
      </c>
      <c r="G23" s="40">
        <v>0.08</v>
      </c>
      <c r="H23" s="40"/>
      <c r="I23" s="40">
        <v>246.25</v>
      </c>
      <c r="J23" s="40">
        <v>0.25</v>
      </c>
      <c r="K23" s="40">
        <v>92.67</v>
      </c>
      <c r="P23" s="57">
        <f t="shared" si="3"/>
        <v>0.8670392147995678</v>
      </c>
      <c r="Q23" s="57">
        <f t="shared" si="4"/>
        <v>1.2863260757702037</v>
      </c>
      <c r="R23" s="57">
        <f t="shared" si="5"/>
        <v>0.92215833781406131</v>
      </c>
      <c r="S23" s="57">
        <f t="shared" si="6"/>
        <v>3.075523628383833</v>
      </c>
    </row>
    <row r="24" spans="1:19" x14ac:dyDescent="0.25">
      <c r="A24">
        <v>10</v>
      </c>
      <c r="B24" s="40">
        <v>989.89</v>
      </c>
      <c r="C24" s="40">
        <v>1698.35</v>
      </c>
      <c r="D24" s="40">
        <v>40.799999999999997</v>
      </c>
      <c r="E24" s="135">
        <v>-134.88200000000001</v>
      </c>
      <c r="F24" s="40">
        <v>0.17399999999999999</v>
      </c>
      <c r="G24" s="40">
        <v>8.3000000000000004E-2</v>
      </c>
      <c r="H24" s="40"/>
      <c r="I24" s="40">
        <v>246.2</v>
      </c>
      <c r="J24" s="40">
        <v>0.35</v>
      </c>
      <c r="K24" s="40">
        <v>92.55</v>
      </c>
      <c r="P24" s="57">
        <f t="shared" si="3"/>
        <v>0.95045094560425281</v>
      </c>
      <c r="Q24" s="57">
        <f t="shared" si="4"/>
        <v>1.3989000346643932</v>
      </c>
      <c r="R24" s="57">
        <f t="shared" si="5"/>
        <v>0.84706316175358043</v>
      </c>
      <c r="S24" s="57">
        <f t="shared" si="6"/>
        <v>3.1964141420222267</v>
      </c>
    </row>
    <row r="25" spans="1:19" x14ac:dyDescent="0.25">
      <c r="A25">
        <v>11</v>
      </c>
      <c r="B25" s="40">
        <v>990.03</v>
      </c>
      <c r="C25" s="40">
        <v>1698.32</v>
      </c>
      <c r="D25" s="40">
        <v>40.83</v>
      </c>
      <c r="E25" s="135">
        <v>-134.88</v>
      </c>
      <c r="F25" s="40">
        <v>0.17899999999999999</v>
      </c>
      <c r="G25" s="40">
        <v>0.09</v>
      </c>
      <c r="H25" s="40"/>
      <c r="I25" s="40">
        <v>246.17</v>
      </c>
      <c r="J25" s="40">
        <v>0.37</v>
      </c>
      <c r="K25" s="40">
        <v>92.55</v>
      </c>
      <c r="P25" s="57">
        <f t="shared" si="3"/>
        <v>0.86981434800770041</v>
      </c>
      <c r="Q25" s="57">
        <f t="shared" si="4"/>
        <v>1.4125861730737592</v>
      </c>
      <c r="R25" s="57">
        <f t="shared" si="5"/>
        <v>0.81964382508500089</v>
      </c>
      <c r="S25" s="57">
        <f t="shared" si="6"/>
        <v>3.1020443461664606</v>
      </c>
    </row>
    <row r="26" spans="1:19" x14ac:dyDescent="0.25">
      <c r="A26">
        <v>12</v>
      </c>
      <c r="B26" s="40">
        <v>990.09</v>
      </c>
      <c r="C26" s="40">
        <v>1698.29</v>
      </c>
      <c r="D26" s="40">
        <v>40.840000000000003</v>
      </c>
      <c r="E26" s="135">
        <v>-134.87899999999999</v>
      </c>
      <c r="F26" s="40">
        <v>0.18</v>
      </c>
      <c r="G26" s="40">
        <v>9.0999999999999998E-2</v>
      </c>
      <c r="H26" s="40"/>
      <c r="I26" s="40">
        <v>246.13</v>
      </c>
      <c r="J26" s="40">
        <v>0.33</v>
      </c>
      <c r="K26" s="40">
        <v>92.55</v>
      </c>
      <c r="P26" s="57">
        <f t="shared" si="3"/>
        <v>0.82592796296048465</v>
      </c>
      <c r="Q26" s="57">
        <f t="shared" si="4"/>
        <v>1.4271227494771579</v>
      </c>
      <c r="R26" s="57">
        <f t="shared" si="5"/>
        <v>0.77705598253921504</v>
      </c>
      <c r="S26" s="57">
        <f t="shared" si="6"/>
        <v>3.0301066949768578</v>
      </c>
    </row>
    <row r="27" spans="1:19" x14ac:dyDescent="0.25">
      <c r="A27">
        <v>13</v>
      </c>
      <c r="B27" s="40">
        <v>990.08</v>
      </c>
      <c r="C27" s="40">
        <v>1698.32</v>
      </c>
      <c r="D27" s="40">
        <v>40.840000000000003</v>
      </c>
      <c r="E27" s="135">
        <v>-134.88</v>
      </c>
      <c r="F27" s="40">
        <v>0.17899999999999999</v>
      </c>
      <c r="G27" s="40">
        <v>8.8999999999999996E-2</v>
      </c>
      <c r="H27" s="40"/>
      <c r="I27" s="40">
        <v>246.11</v>
      </c>
      <c r="J27" s="40">
        <v>0.35</v>
      </c>
      <c r="K27" s="40">
        <v>92.58</v>
      </c>
      <c r="P27" s="57">
        <f t="shared" si="3"/>
        <v>0.85336803314866183</v>
      </c>
      <c r="Q27" s="57">
        <f t="shared" si="4"/>
        <v>1.4163920754150801</v>
      </c>
      <c r="R27" s="57">
        <f t="shared" si="5"/>
        <v>0.76573885888076265</v>
      </c>
      <c r="S27" s="57">
        <f t="shared" si="6"/>
        <v>3.0354989674445045</v>
      </c>
    </row>
    <row r="28" spans="1:19" x14ac:dyDescent="0.25">
      <c r="A28">
        <v>14</v>
      </c>
      <c r="B28" s="40">
        <v>990.08</v>
      </c>
      <c r="C28" s="40">
        <v>1698.31</v>
      </c>
      <c r="D28" s="40">
        <v>40.82</v>
      </c>
      <c r="E28" s="135">
        <v>-134.88</v>
      </c>
      <c r="F28" s="40">
        <v>0.17799999999999999</v>
      </c>
      <c r="G28" s="40">
        <v>8.8999999999999996E-2</v>
      </c>
      <c r="H28" s="40"/>
      <c r="I28" s="40">
        <v>246.11</v>
      </c>
      <c r="J28" s="40">
        <v>0.33</v>
      </c>
      <c r="K28" s="40">
        <v>92.59</v>
      </c>
      <c r="P28" s="57">
        <f t="shared" si="3"/>
        <v>0.83616804531148192</v>
      </c>
      <c r="Q28" s="57">
        <f t="shared" si="4"/>
        <v>1.4150788854990715</v>
      </c>
      <c r="R28" s="57">
        <f t="shared" si="5"/>
        <v>0.76663941980569617</v>
      </c>
      <c r="S28" s="57">
        <f t="shared" si="6"/>
        <v>3.0178863506162492</v>
      </c>
    </row>
    <row r="29" spans="1:19" x14ac:dyDescent="0.25">
      <c r="A29">
        <v>15</v>
      </c>
      <c r="B29" s="40">
        <v>989.98</v>
      </c>
      <c r="C29" s="40">
        <v>1698.22</v>
      </c>
      <c r="D29" s="40">
        <v>40.81</v>
      </c>
      <c r="E29" s="135">
        <v>-134.881</v>
      </c>
      <c r="F29" s="40">
        <v>0.17199999999999999</v>
      </c>
      <c r="G29" s="40">
        <v>8.6999999999999994E-2</v>
      </c>
      <c r="H29" s="40"/>
      <c r="I29" s="40">
        <v>246.11</v>
      </c>
      <c r="J29" s="40">
        <v>0.32</v>
      </c>
      <c r="K29" s="40">
        <v>92.53</v>
      </c>
      <c r="P29" s="57">
        <f t="shared" si="3"/>
        <v>0.81126875941338106</v>
      </c>
      <c r="Q29" s="57">
        <f t="shared" si="4"/>
        <v>1.3969767768656653</v>
      </c>
      <c r="R29" s="57">
        <f t="shared" si="5"/>
        <v>0.75309760323613673</v>
      </c>
      <c r="S29" s="57">
        <f t="shared" si="6"/>
        <v>2.9613431395151828</v>
      </c>
    </row>
    <row r="30" spans="1:19" x14ac:dyDescent="0.25">
      <c r="P30" s="57"/>
      <c r="Q30" s="57"/>
      <c r="R30" s="57"/>
    </row>
    <row r="31" spans="1:19" x14ac:dyDescent="0.25">
      <c r="A31" t="s">
        <v>249</v>
      </c>
      <c r="P31" s="57"/>
      <c r="Q31" s="57"/>
      <c r="R31" s="57"/>
    </row>
    <row r="32" spans="1:19" x14ac:dyDescent="0.25">
      <c r="B32">
        <v>990.09</v>
      </c>
      <c r="C32">
        <v>1698.21</v>
      </c>
      <c r="D32">
        <v>40.72</v>
      </c>
      <c r="E32">
        <v>-134.886</v>
      </c>
      <c r="F32">
        <v>0.16600000000000001</v>
      </c>
      <c r="G32">
        <v>8.4000000000000005E-2</v>
      </c>
      <c r="I32">
        <v>246.16</v>
      </c>
      <c r="J32">
        <v>0.42</v>
      </c>
      <c r="K32">
        <v>92.68</v>
      </c>
      <c r="P32" s="57">
        <f t="shared" ref="P32:P36" si="7">SQRT((B32-$B$1)^2+(C32-$C$1)^2+(D32-$D$1)^2)</f>
        <v>0.70958931784527668</v>
      </c>
      <c r="Q32" s="57">
        <f t="shared" ref="Q32:Q36" si="8">SQRT(((E32-$E$1)*PI()/180*1000)^2+((F32-$F$1)*PI()/180*1000)^2*((G32-$G$1)*PI()/180*1000)^2)</f>
        <v>1.312300154191941</v>
      </c>
      <c r="R32" s="57">
        <f t="shared" ref="R32:R36" si="9">SQRT((I32-$I$1)^2+(J32-$J$1)^2+(K32-$K$1)^2)</f>
        <v>0.85109106445784688</v>
      </c>
    </row>
    <row r="33" spans="1:18" x14ac:dyDescent="0.25">
      <c r="B33" s="39">
        <v>989.8</v>
      </c>
      <c r="C33" s="39">
        <v>1698.44</v>
      </c>
      <c r="D33" s="39">
        <v>40.57</v>
      </c>
      <c r="E33" s="39">
        <v>-134.87700000000001</v>
      </c>
      <c r="F33" s="39">
        <v>0.161</v>
      </c>
      <c r="G33" s="39">
        <v>8.4000000000000005E-2</v>
      </c>
      <c r="P33" s="57">
        <f t="shared" si="7"/>
        <v>1.013349396802649</v>
      </c>
      <c r="Q33" s="57">
        <f t="shared" si="8"/>
        <v>1.4578842651664006</v>
      </c>
      <c r="R33" s="134" t="s">
        <v>251</v>
      </c>
    </row>
    <row r="34" spans="1:18" x14ac:dyDescent="0.25">
      <c r="B34">
        <v>989.99</v>
      </c>
      <c r="C34">
        <v>1698.4</v>
      </c>
      <c r="D34">
        <v>40.770000000000003</v>
      </c>
      <c r="E34">
        <v>-134.88200000000001</v>
      </c>
      <c r="F34">
        <v>0.16600000000000001</v>
      </c>
      <c r="G34">
        <v>0.08</v>
      </c>
      <c r="P34" s="57">
        <f t="shared" si="7"/>
        <v>0.92713375518329189</v>
      </c>
      <c r="Q34" s="57">
        <f t="shared" si="8"/>
        <v>1.3930502933882489</v>
      </c>
      <c r="R34" s="134" t="s">
        <v>251</v>
      </c>
    </row>
    <row r="35" spans="1:18" x14ac:dyDescent="0.25">
      <c r="A35" t="s">
        <v>250</v>
      </c>
      <c r="P35" s="57"/>
      <c r="Q35" s="57"/>
      <c r="R35" s="57"/>
    </row>
    <row r="36" spans="1:18" x14ac:dyDescent="0.25">
      <c r="B36">
        <v>990.17</v>
      </c>
      <c r="C36">
        <v>1697.87</v>
      </c>
      <c r="D36">
        <v>40.869999999999997</v>
      </c>
      <c r="E36">
        <v>-134.893</v>
      </c>
      <c r="F36">
        <v>0.16700000000000001</v>
      </c>
      <c r="G36">
        <v>8.8999999999999996E-2</v>
      </c>
      <c r="I36">
        <v>246.01</v>
      </c>
      <c r="J36">
        <v>0.33</v>
      </c>
      <c r="K36">
        <v>92.46</v>
      </c>
      <c r="P36" s="57">
        <f t="shared" si="7"/>
        <v>0.54614741599682992</v>
      </c>
      <c r="Q36" s="57">
        <f t="shared" si="8"/>
        <v>1.1797310198432907</v>
      </c>
      <c r="R36" s="57">
        <f t="shared" si="9"/>
        <v>0.6451325445208772</v>
      </c>
    </row>
    <row r="37" spans="1:18" x14ac:dyDescent="0.25">
      <c r="P37" s="57"/>
      <c r="Q37" s="57"/>
      <c r="R37" s="57"/>
    </row>
    <row r="38" spans="1:18" x14ac:dyDescent="0.25">
      <c r="P38" s="57"/>
      <c r="Q38" s="57"/>
      <c r="R38" s="57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273C-F7AE-4A5D-B89B-999FB96833DB}">
  <dimension ref="A1:S38"/>
  <sheetViews>
    <sheetView topLeftCell="A37" zoomScale="85" zoomScaleNormal="85" workbookViewId="0">
      <selection activeCell="P1" sqref="P1:R1"/>
    </sheetView>
  </sheetViews>
  <sheetFormatPr baseColWidth="10" defaultRowHeight="15" x14ac:dyDescent="0.25"/>
  <cols>
    <col min="2" max="11" width="11.42578125" style="146"/>
    <col min="16" max="16" width="25" customWidth="1"/>
    <col min="17" max="17" width="22.7109375" customWidth="1"/>
    <col min="18" max="18" width="25.42578125" customWidth="1"/>
  </cols>
  <sheetData>
    <row r="1" spans="1:19" x14ac:dyDescent="0.25">
      <c r="A1" s="42" t="s">
        <v>1</v>
      </c>
      <c r="B1" s="146">
        <v>990.41800000000001</v>
      </c>
      <c r="C1" s="146">
        <v>1697.6479999999999</v>
      </c>
      <c r="D1" s="146">
        <v>40.436999999999998</v>
      </c>
      <c r="E1" s="146">
        <v>-134.959</v>
      </c>
      <c r="F1" s="146">
        <v>0.123</v>
      </c>
      <c r="G1" s="146">
        <v>0.108</v>
      </c>
      <c r="H1" s="147" t="s">
        <v>164</v>
      </c>
      <c r="I1" s="146">
        <v>245.37</v>
      </c>
      <c r="J1" s="146">
        <v>0.28000000000000003</v>
      </c>
      <c r="K1" s="146">
        <v>92.396000000000001</v>
      </c>
      <c r="L1">
        <v>0.15</v>
      </c>
      <c r="M1">
        <v>90.01</v>
      </c>
      <c r="N1">
        <v>0.2</v>
      </c>
      <c r="P1" t="s">
        <v>423</v>
      </c>
      <c r="Q1" t="s">
        <v>425</v>
      </c>
      <c r="R1" t="s">
        <v>424</v>
      </c>
    </row>
    <row r="2" spans="1:19" x14ac:dyDescent="0.25">
      <c r="I2" s="148"/>
    </row>
    <row r="3" spans="1:19" x14ac:dyDescent="0.25">
      <c r="A3" t="s">
        <v>295</v>
      </c>
    </row>
    <row r="4" spans="1:19" x14ac:dyDescent="0.25">
      <c r="A4">
        <v>1</v>
      </c>
      <c r="B4" s="148">
        <v>990.08</v>
      </c>
      <c r="C4" s="148">
        <v>1698.34</v>
      </c>
      <c r="D4" s="148">
        <v>40.799999999999997</v>
      </c>
      <c r="E4" s="148">
        <v>-134.88800000000001</v>
      </c>
      <c r="F4" s="148">
        <v>0.17199999999999999</v>
      </c>
      <c r="G4" s="148">
        <v>8.3000000000000004E-2</v>
      </c>
      <c r="H4" s="148"/>
      <c r="I4" s="148">
        <v>245.96</v>
      </c>
      <c r="J4" s="148">
        <v>0.32</v>
      </c>
      <c r="K4" s="148">
        <v>92.66</v>
      </c>
      <c r="P4" s="57">
        <f t="shared" ref="P4:P29" si="0">SQRT((B4-$B$1)^2+(C4-$C$1)^2+(D4-$D$1)^2)</f>
        <v>0.85139708714558471</v>
      </c>
      <c r="Q4" s="57">
        <f>SQRT(((E4-$E$1)*PI()/180*1000)^2+((F4-$F$1)*PI()/180*1000)^2*((G4-$G$1)*PI()/180*1000)^2)</f>
        <v>1.2941491670818903</v>
      </c>
      <c r="R4" s="57">
        <f t="shared" ref="R4:R29" si="1">SQRT((I4-$I$1)^2+(J4-$J$1)^2+(K4-$K$1)^2)</f>
        <v>0.64760790606662744</v>
      </c>
      <c r="S4" s="57">
        <f>P4+Q4+R4</f>
        <v>2.7931541602941024</v>
      </c>
    </row>
    <row r="5" spans="1:19" x14ac:dyDescent="0.25">
      <c r="A5">
        <v>2</v>
      </c>
      <c r="B5" s="148">
        <v>990</v>
      </c>
      <c r="C5" s="148">
        <v>1698.33</v>
      </c>
      <c r="D5" s="148">
        <v>40.86</v>
      </c>
      <c r="E5" s="148">
        <v>-134.88800000000001</v>
      </c>
      <c r="F5" s="148">
        <v>0.17299999999999999</v>
      </c>
      <c r="G5" s="148">
        <v>8.2000000000000003E-2</v>
      </c>
      <c r="H5" s="148"/>
      <c r="I5" s="148">
        <v>246</v>
      </c>
      <c r="J5" s="148">
        <v>0.34</v>
      </c>
      <c r="K5" s="148">
        <v>92.58</v>
      </c>
      <c r="P5" s="57">
        <f t="shared" si="0"/>
        <v>0.90486297305173746</v>
      </c>
      <c r="Q5" s="57">
        <f t="shared" ref="Q5:Q29" si="2">SQRT(((E5-$E$1)*PI()/180*1000)^2+((F5-$F$1)*PI()/180*1000)^2*((G5-$G$1)*PI()/180*1000)^2)</f>
        <v>1.3009206388416259</v>
      </c>
      <c r="R5" s="57">
        <f t="shared" si="1"/>
        <v>0.65905690194397726</v>
      </c>
      <c r="S5" s="57">
        <f t="shared" ref="S5:S29" si="3">P5+Q5+R5</f>
        <v>2.8648405138373407</v>
      </c>
    </row>
    <row r="6" spans="1:19" x14ac:dyDescent="0.25">
      <c r="A6">
        <v>3</v>
      </c>
      <c r="B6" s="148">
        <v>990.01</v>
      </c>
      <c r="C6" s="148">
        <v>1698.34</v>
      </c>
      <c r="D6" s="148">
        <v>40.799999999999997</v>
      </c>
      <c r="E6" s="148">
        <v>-134.88900000000001</v>
      </c>
      <c r="F6" s="148">
        <v>0.17100000000000001</v>
      </c>
      <c r="G6" s="148">
        <v>8.1000000000000003E-2</v>
      </c>
      <c r="H6" s="148"/>
      <c r="I6" s="148">
        <v>245.99</v>
      </c>
      <c r="J6" s="148">
        <v>0.31</v>
      </c>
      <c r="K6" s="148">
        <v>92.63</v>
      </c>
      <c r="P6" s="57">
        <f t="shared" si="0"/>
        <v>0.88153105447285429</v>
      </c>
      <c r="Q6" s="57">
        <f t="shared" si="2"/>
        <v>1.2839314244183704</v>
      </c>
      <c r="R6" s="57">
        <f t="shared" si="1"/>
        <v>0.66336716831631271</v>
      </c>
      <c r="S6" s="57">
        <f t="shared" si="3"/>
        <v>2.8288296472075372</v>
      </c>
    </row>
    <row r="7" spans="1:19" x14ac:dyDescent="0.25">
      <c r="A7">
        <v>4</v>
      </c>
      <c r="B7" s="148">
        <v>989.95</v>
      </c>
      <c r="C7" s="148">
        <v>1698.21</v>
      </c>
      <c r="D7" s="148">
        <v>40.74</v>
      </c>
      <c r="E7" s="148">
        <v>-134.88800000000001</v>
      </c>
      <c r="F7" s="148">
        <v>0.16600000000000001</v>
      </c>
      <c r="G7" s="148">
        <v>8.1000000000000003E-2</v>
      </c>
      <c r="H7" s="148"/>
      <c r="I7" s="148">
        <v>246.02</v>
      </c>
      <c r="J7" s="148">
        <v>0.25</v>
      </c>
      <c r="K7" s="148">
        <v>92.61</v>
      </c>
      <c r="P7" s="57">
        <f t="shared" si="0"/>
        <v>0.79162933245307876</v>
      </c>
      <c r="Q7" s="57">
        <f t="shared" si="2"/>
        <v>1.2886630249372613</v>
      </c>
      <c r="R7" s="57">
        <f t="shared" si="1"/>
        <v>0.68497883178971797</v>
      </c>
      <c r="S7" s="57">
        <f t="shared" si="3"/>
        <v>2.7652711891800581</v>
      </c>
    </row>
    <row r="8" spans="1:19" x14ac:dyDescent="0.25">
      <c r="A8">
        <v>5</v>
      </c>
      <c r="B8" s="148">
        <v>989.99</v>
      </c>
      <c r="C8" s="148">
        <v>1698.2</v>
      </c>
      <c r="D8" s="148">
        <v>40.79</v>
      </c>
      <c r="E8" s="148">
        <v>-134.887</v>
      </c>
      <c r="F8" s="148">
        <v>0.16700000000000001</v>
      </c>
      <c r="G8" s="148">
        <v>8.3000000000000004E-2</v>
      </c>
      <c r="H8" s="148"/>
      <c r="I8" s="148">
        <v>246</v>
      </c>
      <c r="J8" s="148">
        <v>0.26</v>
      </c>
      <c r="K8" s="148">
        <v>92.58</v>
      </c>
      <c r="P8" s="57">
        <f t="shared" si="0"/>
        <v>0.78262187549297857</v>
      </c>
      <c r="Q8" s="57">
        <f t="shared" si="2"/>
        <v>1.3005440203329555</v>
      </c>
      <c r="R8" s="57">
        <f t="shared" si="1"/>
        <v>0.65662470255085081</v>
      </c>
      <c r="S8" s="57">
        <f t="shared" si="3"/>
        <v>2.7397905983767847</v>
      </c>
    </row>
    <row r="9" spans="1:19" x14ac:dyDescent="0.25">
      <c r="A9">
        <v>6</v>
      </c>
      <c r="B9" s="148">
        <v>990</v>
      </c>
      <c r="C9" s="148">
        <v>1698.28</v>
      </c>
      <c r="D9" s="148">
        <v>40.840000000000003</v>
      </c>
      <c r="E9" s="148">
        <v>-134.88399999999999</v>
      </c>
      <c r="F9" s="148">
        <v>0.17</v>
      </c>
      <c r="G9" s="148">
        <v>0.08</v>
      </c>
      <c r="H9" s="148"/>
      <c r="I9" s="148">
        <v>245.98</v>
      </c>
      <c r="J9" s="148">
        <v>0.26</v>
      </c>
      <c r="K9" s="148">
        <v>92.59</v>
      </c>
      <c r="P9" s="57">
        <f t="shared" si="0"/>
        <v>0.8582289904216055</v>
      </c>
      <c r="Q9" s="57">
        <f t="shared" si="2"/>
        <v>1.3690051037697246</v>
      </c>
      <c r="R9" s="57">
        <f t="shared" si="1"/>
        <v>0.64041861309613957</v>
      </c>
      <c r="S9" s="57">
        <f t="shared" si="3"/>
        <v>2.8676527072874696</v>
      </c>
    </row>
    <row r="10" spans="1:19" x14ac:dyDescent="0.25">
      <c r="A10">
        <v>7</v>
      </c>
      <c r="B10" s="148">
        <v>990</v>
      </c>
      <c r="C10" s="148">
        <v>1698.33</v>
      </c>
      <c r="D10" s="148">
        <v>40.78</v>
      </c>
      <c r="E10" s="148">
        <v>-134.88399999999999</v>
      </c>
      <c r="F10" s="148">
        <v>0.17299999999999999</v>
      </c>
      <c r="G10" s="148">
        <v>8.1000000000000003E-2</v>
      </c>
      <c r="H10" s="148"/>
      <c r="I10" s="148">
        <v>246.09</v>
      </c>
      <c r="J10" s="148">
        <v>0.27</v>
      </c>
      <c r="K10" s="148">
        <v>92.64</v>
      </c>
      <c r="P10" s="57">
        <f t="shared" si="0"/>
        <v>0.87034303581980255</v>
      </c>
      <c r="Q10" s="57">
        <f t="shared" si="2"/>
        <v>1.3720736101129487</v>
      </c>
      <c r="R10" s="57">
        <f t="shared" si="1"/>
        <v>0.76028678799516058</v>
      </c>
      <c r="S10" s="57">
        <f t="shared" si="3"/>
        <v>3.0027034339279117</v>
      </c>
    </row>
    <row r="11" spans="1:19" x14ac:dyDescent="0.25">
      <c r="A11">
        <v>8</v>
      </c>
      <c r="B11" s="148">
        <v>989.97</v>
      </c>
      <c r="C11" s="148">
        <v>1698.32</v>
      </c>
      <c r="D11" s="148">
        <v>40.74</v>
      </c>
      <c r="E11" s="148">
        <v>-134.88499999999999</v>
      </c>
      <c r="F11" s="148">
        <v>0.17399999999999999</v>
      </c>
      <c r="G11" s="148">
        <v>8.1000000000000003E-2</v>
      </c>
      <c r="H11" s="148"/>
      <c r="I11" s="148">
        <v>246.16</v>
      </c>
      <c r="J11" s="148">
        <v>0.25</v>
      </c>
      <c r="K11" s="148">
        <v>92.65</v>
      </c>
      <c r="P11" s="57">
        <f t="shared" si="0"/>
        <v>0.86261057262244256</v>
      </c>
      <c r="Q11" s="57">
        <f t="shared" si="2"/>
        <v>1.3579507212828956</v>
      </c>
      <c r="R11" s="57">
        <f t="shared" si="1"/>
        <v>0.83037100142044329</v>
      </c>
      <c r="S11" s="57">
        <f t="shared" si="3"/>
        <v>3.0509322953257816</v>
      </c>
    </row>
    <row r="12" spans="1:19" x14ac:dyDescent="0.25">
      <c r="A12" t="s">
        <v>296</v>
      </c>
      <c r="B12" s="148"/>
      <c r="C12" s="148"/>
      <c r="D12" s="148"/>
      <c r="E12" s="148"/>
      <c r="F12" s="148"/>
      <c r="G12" s="148"/>
      <c r="H12" s="148"/>
      <c r="I12" s="148"/>
      <c r="J12" s="148"/>
      <c r="K12" s="148"/>
      <c r="P12" s="57"/>
      <c r="Q12" s="57"/>
      <c r="R12" s="57"/>
      <c r="S12" s="57"/>
    </row>
    <row r="13" spans="1:19" x14ac:dyDescent="0.25">
      <c r="A13">
        <v>1</v>
      </c>
      <c r="B13" s="148">
        <v>990.05</v>
      </c>
      <c r="C13" s="148">
        <v>1698.5</v>
      </c>
      <c r="D13" s="148">
        <v>40.82</v>
      </c>
      <c r="E13" s="148">
        <v>-134.87899999999999</v>
      </c>
      <c r="F13" s="148">
        <v>0.18</v>
      </c>
      <c r="G13" s="148">
        <v>8.4000000000000005E-2</v>
      </c>
      <c r="H13" s="148"/>
      <c r="I13" s="148">
        <v>246.11</v>
      </c>
      <c r="J13" s="148">
        <v>0.38</v>
      </c>
      <c r="K13" s="148">
        <v>92.67</v>
      </c>
      <c r="P13" s="57">
        <f t="shared" si="0"/>
        <v>1.0040004980079402</v>
      </c>
      <c r="Q13" s="57">
        <f t="shared" si="2"/>
        <v>1.4571219017562127</v>
      </c>
      <c r="R13" s="57">
        <f t="shared" si="1"/>
        <v>0.79540932858498326</v>
      </c>
      <c r="S13" s="57">
        <f t="shared" si="3"/>
        <v>3.2565317283491364</v>
      </c>
    </row>
    <row r="14" spans="1:19" x14ac:dyDescent="0.25">
      <c r="A14">
        <v>2</v>
      </c>
      <c r="B14" s="148">
        <v>989.84</v>
      </c>
      <c r="C14" s="148">
        <v>1698.51</v>
      </c>
      <c r="D14" s="148">
        <v>40.76</v>
      </c>
      <c r="E14" s="148">
        <v>-134.87100000000001</v>
      </c>
      <c r="F14" s="148">
        <v>0.17100000000000001</v>
      </c>
      <c r="G14" s="148">
        <v>8.3000000000000004E-2</v>
      </c>
      <c r="H14" s="148"/>
      <c r="I14" s="148">
        <v>246.13</v>
      </c>
      <c r="J14" s="148">
        <v>0.51</v>
      </c>
      <c r="K14" s="148">
        <v>92.7</v>
      </c>
      <c r="P14" s="57">
        <f t="shared" si="0"/>
        <v>1.0869484808398735</v>
      </c>
      <c r="Q14" s="57">
        <f t="shared" si="2"/>
        <v>1.5787898692156468</v>
      </c>
      <c r="R14" s="57">
        <f t="shared" si="1"/>
        <v>0.85024467066838316</v>
      </c>
      <c r="S14" s="57">
        <f t="shared" si="3"/>
        <v>3.5159830207239033</v>
      </c>
    </row>
    <row r="15" spans="1:19" x14ac:dyDescent="0.25">
      <c r="A15">
        <v>3</v>
      </c>
      <c r="B15" s="148">
        <v>989.85</v>
      </c>
      <c r="C15" s="148">
        <v>1698.45</v>
      </c>
      <c r="D15" s="148">
        <v>40.86</v>
      </c>
      <c r="E15" s="148">
        <v>-134.87700000000001</v>
      </c>
      <c r="F15" s="148">
        <v>0.16700000000000001</v>
      </c>
      <c r="G15" s="148">
        <v>7.6999999999999999E-2</v>
      </c>
      <c r="H15" s="148"/>
      <c r="I15" s="148">
        <v>246.08</v>
      </c>
      <c r="J15" s="148">
        <v>0.42</v>
      </c>
      <c r="K15" s="148">
        <v>92.65</v>
      </c>
      <c r="P15" s="57">
        <f t="shared" si="0"/>
        <v>1.0699331754834966</v>
      </c>
      <c r="Q15" s="57">
        <f t="shared" si="2"/>
        <v>1.4902638196300717</v>
      </c>
      <c r="R15" s="57">
        <f t="shared" si="1"/>
        <v>0.76695241051841911</v>
      </c>
      <c r="S15" s="57">
        <f t="shared" si="3"/>
        <v>3.3271494056319875</v>
      </c>
    </row>
    <row r="16" spans="1:19" x14ac:dyDescent="0.25">
      <c r="A16">
        <v>4</v>
      </c>
      <c r="B16" s="148">
        <v>989.91</v>
      </c>
      <c r="C16" s="148">
        <v>1698.42</v>
      </c>
      <c r="D16" s="148">
        <v>40.840000000000003</v>
      </c>
      <c r="E16" s="148">
        <v>-134.87799999999999</v>
      </c>
      <c r="F16" s="148">
        <v>0.17299999999999999</v>
      </c>
      <c r="G16" s="148">
        <v>8.1000000000000003E-2</v>
      </c>
      <c r="H16" s="148"/>
      <c r="I16" s="148">
        <v>246.12</v>
      </c>
      <c r="J16" s="148">
        <v>0.35</v>
      </c>
      <c r="K16" s="148">
        <v>92.61</v>
      </c>
      <c r="P16" s="57">
        <f t="shared" si="0"/>
        <v>1.0081949216298867</v>
      </c>
      <c r="Q16" s="57">
        <f t="shared" si="2"/>
        <v>1.4723137900898751</v>
      </c>
      <c r="R16" s="57">
        <f t="shared" si="1"/>
        <v>0.78306832396668902</v>
      </c>
      <c r="S16" s="57">
        <f t="shared" si="3"/>
        <v>3.2635770356864509</v>
      </c>
    </row>
    <row r="17" spans="1:19" x14ac:dyDescent="0.25">
      <c r="A17">
        <v>5</v>
      </c>
      <c r="B17" s="148">
        <v>989.93</v>
      </c>
      <c r="C17" s="148">
        <v>1698.4</v>
      </c>
      <c r="D17" s="148">
        <v>40.869999999999997</v>
      </c>
      <c r="E17" s="148">
        <v>-134.87899999999999</v>
      </c>
      <c r="F17" s="148">
        <v>0.17399999999999999</v>
      </c>
      <c r="G17" s="148">
        <v>8.2000000000000003E-2</v>
      </c>
      <c r="H17" s="148"/>
      <c r="I17" s="148">
        <v>246.1</v>
      </c>
      <c r="J17" s="148">
        <v>0.34</v>
      </c>
      <c r="K17" s="148">
        <v>92.61</v>
      </c>
      <c r="P17" s="57">
        <f t="shared" si="0"/>
        <v>0.99555863714817205</v>
      </c>
      <c r="Q17" s="57">
        <f t="shared" si="2"/>
        <v>1.4535147171975531</v>
      </c>
      <c r="R17" s="57">
        <f t="shared" si="1"/>
        <v>0.76308321957698988</v>
      </c>
      <c r="S17" s="57">
        <f t="shared" si="3"/>
        <v>3.2121565739227149</v>
      </c>
    </row>
    <row r="18" spans="1:19" x14ac:dyDescent="0.25">
      <c r="A18">
        <v>6</v>
      </c>
      <c r="B18" s="148">
        <v>989.93</v>
      </c>
      <c r="C18" s="148">
        <v>1698.4</v>
      </c>
      <c r="D18" s="148">
        <v>40.86</v>
      </c>
      <c r="E18" s="136">
        <v>-134.87899999999999</v>
      </c>
      <c r="F18" s="148">
        <v>0.17399999999999999</v>
      </c>
      <c r="G18" s="148">
        <v>8.2000000000000003E-2</v>
      </c>
      <c r="H18" s="148"/>
      <c r="I18" s="148">
        <v>246.11</v>
      </c>
      <c r="J18" s="148">
        <v>0.33</v>
      </c>
      <c r="K18" s="148">
        <v>92.63</v>
      </c>
      <c r="P18" s="57">
        <f t="shared" si="0"/>
        <v>0.99125022068109903</v>
      </c>
      <c r="Q18" s="57">
        <f t="shared" si="2"/>
        <v>1.4535147171975531</v>
      </c>
      <c r="R18" s="57">
        <f t="shared" si="1"/>
        <v>0.77772488709055132</v>
      </c>
      <c r="S18" s="57">
        <f t="shared" si="3"/>
        <v>3.2224898249692036</v>
      </c>
    </row>
    <row r="19" spans="1:19" x14ac:dyDescent="0.25">
      <c r="A19">
        <v>7</v>
      </c>
      <c r="B19" s="148">
        <v>989.96</v>
      </c>
      <c r="C19" s="148">
        <v>1698.37</v>
      </c>
      <c r="D19" s="148">
        <v>40.9</v>
      </c>
      <c r="E19" s="136">
        <v>-134.881</v>
      </c>
      <c r="F19" s="148">
        <v>0.17399999999999999</v>
      </c>
      <c r="G19" s="148">
        <v>8.3000000000000004E-2</v>
      </c>
      <c r="H19" s="148"/>
      <c r="I19" s="148">
        <v>246.07</v>
      </c>
      <c r="J19" s="148">
        <v>0.31</v>
      </c>
      <c r="K19" s="148">
        <v>92.59</v>
      </c>
      <c r="P19" s="57">
        <f t="shared" si="0"/>
        <v>0.9723255627617452</v>
      </c>
      <c r="Q19" s="57">
        <f t="shared" si="2"/>
        <v>1.4156754596485754</v>
      </c>
      <c r="R19" s="57">
        <f t="shared" si="1"/>
        <v>0.72700481428941388</v>
      </c>
      <c r="S19" s="57">
        <f t="shared" si="3"/>
        <v>3.1150058366997344</v>
      </c>
    </row>
    <row r="20" spans="1:19" x14ac:dyDescent="0.25">
      <c r="A20">
        <v>8</v>
      </c>
      <c r="B20" s="148">
        <v>989.94</v>
      </c>
      <c r="C20" s="148">
        <v>1698.42</v>
      </c>
      <c r="D20" s="148">
        <v>40.880000000000003</v>
      </c>
      <c r="E20" s="136">
        <v>-134.88</v>
      </c>
      <c r="F20" s="148">
        <v>0.17299999999999999</v>
      </c>
      <c r="G20" s="148">
        <v>8.4000000000000005E-2</v>
      </c>
      <c r="H20" s="148"/>
      <c r="I20" s="148">
        <v>246.09</v>
      </c>
      <c r="J20" s="148">
        <v>0.37</v>
      </c>
      <c r="K20" s="148">
        <v>92.63</v>
      </c>
      <c r="P20" s="57">
        <f t="shared" si="0"/>
        <v>1.0103053993719959</v>
      </c>
      <c r="Q20" s="57">
        <f t="shared" si="2"/>
        <v>1.4264422418027438</v>
      </c>
      <c r="R20" s="57">
        <f t="shared" si="1"/>
        <v>0.76240146904370265</v>
      </c>
      <c r="S20" s="57">
        <f t="shared" si="3"/>
        <v>3.1991491102184422</v>
      </c>
    </row>
    <row r="21" spans="1:19" x14ac:dyDescent="0.25">
      <c r="A21" t="s">
        <v>297</v>
      </c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P21" s="57"/>
      <c r="Q21" s="57"/>
      <c r="R21" s="57"/>
      <c r="S21" s="57"/>
    </row>
    <row r="22" spans="1:19" x14ac:dyDescent="0.25">
      <c r="A22">
        <v>1</v>
      </c>
      <c r="B22" s="148">
        <v>989.93</v>
      </c>
      <c r="C22" s="148">
        <v>1698.34</v>
      </c>
      <c r="D22" s="148">
        <v>40.57</v>
      </c>
      <c r="E22" s="148">
        <v>-134.892</v>
      </c>
      <c r="F22" s="148">
        <v>0.16400000000000001</v>
      </c>
      <c r="G22" s="148">
        <v>7.1999999999999995E-2</v>
      </c>
      <c r="H22" s="148"/>
      <c r="I22" s="148">
        <v>246.26</v>
      </c>
      <c r="J22" s="148">
        <v>0.21</v>
      </c>
      <c r="K22" s="148">
        <v>92.74</v>
      </c>
      <c r="P22" s="57">
        <f t="shared" si="0"/>
        <v>0.85714467856953169</v>
      </c>
      <c r="Q22" s="57">
        <f t="shared" si="2"/>
        <v>1.2528294081209368</v>
      </c>
      <c r="R22" s="57">
        <f t="shared" si="1"/>
        <v>0.95673193737847573</v>
      </c>
      <c r="S22" s="57">
        <f t="shared" si="3"/>
        <v>3.0667060240689441</v>
      </c>
    </row>
    <row r="23" spans="1:19" x14ac:dyDescent="0.25">
      <c r="A23">
        <v>2</v>
      </c>
      <c r="B23" s="148">
        <v>989.97</v>
      </c>
      <c r="C23" s="148">
        <v>1698.48</v>
      </c>
      <c r="D23" s="148">
        <v>40.82</v>
      </c>
      <c r="E23" s="136">
        <v>-134.88800000000001</v>
      </c>
      <c r="F23" s="148">
        <v>0.17499999999999999</v>
      </c>
      <c r="G23" s="148">
        <v>7.5999999999999998E-2</v>
      </c>
      <c r="H23" s="148"/>
      <c r="I23" s="148">
        <v>246.22</v>
      </c>
      <c r="J23" s="148">
        <v>0.32</v>
      </c>
      <c r="K23" s="148">
        <v>92.65</v>
      </c>
      <c r="P23" s="57">
        <f t="shared" si="0"/>
        <v>1.019616104227548</v>
      </c>
      <c r="Q23" s="57">
        <f t="shared" si="2"/>
        <v>1.3388454655709321</v>
      </c>
      <c r="R23" s="57">
        <f t="shared" si="1"/>
        <v>0.88804053961516471</v>
      </c>
      <c r="S23" s="57">
        <f t="shared" si="3"/>
        <v>3.2465021094136448</v>
      </c>
    </row>
    <row r="24" spans="1:19" x14ac:dyDescent="0.25">
      <c r="A24">
        <v>3</v>
      </c>
      <c r="B24" s="148">
        <v>989.78</v>
      </c>
      <c r="C24" s="148">
        <v>1698.36</v>
      </c>
      <c r="D24" s="148">
        <v>40.85</v>
      </c>
      <c r="E24" s="136">
        <v>-134.881</v>
      </c>
      <c r="F24" s="148">
        <v>0.17199999999999999</v>
      </c>
      <c r="G24" s="148">
        <v>7.9000000000000001E-2</v>
      </c>
      <c r="H24" s="148"/>
      <c r="I24" s="148">
        <v>246.19</v>
      </c>
      <c r="J24" s="148">
        <v>0.39</v>
      </c>
      <c r="K24" s="148">
        <v>92.52</v>
      </c>
      <c r="P24" s="57">
        <f t="shared" si="0"/>
        <v>1.0414206642851056</v>
      </c>
      <c r="Q24" s="57">
        <f t="shared" si="2"/>
        <v>1.4285171799285332</v>
      </c>
      <c r="R24" s="57">
        <f t="shared" si="1"/>
        <v>0.83658591907824242</v>
      </c>
      <c r="S24" s="57">
        <f t="shared" si="3"/>
        <v>3.3065237632918811</v>
      </c>
    </row>
    <row r="25" spans="1:19" x14ac:dyDescent="0.25">
      <c r="A25">
        <v>4</v>
      </c>
      <c r="B25" s="148">
        <v>990.1</v>
      </c>
      <c r="C25" s="148">
        <v>1698.35</v>
      </c>
      <c r="D25" s="148">
        <v>40.89</v>
      </c>
      <c r="E25" s="136">
        <v>-134.88</v>
      </c>
      <c r="F25" s="148">
        <v>0.183</v>
      </c>
      <c r="G25" s="148">
        <v>9.1999999999999998E-2</v>
      </c>
      <c r="H25" s="148"/>
      <c r="I25" s="148">
        <v>246.12</v>
      </c>
      <c r="J25" s="148">
        <v>0.4</v>
      </c>
      <c r="K25" s="148">
        <v>92.55</v>
      </c>
      <c r="P25" s="57">
        <f t="shared" si="0"/>
        <v>0.89394462915775141</v>
      </c>
      <c r="Q25" s="57">
        <f t="shared" si="2"/>
        <v>1.409480122019332</v>
      </c>
      <c r="R25" s="57">
        <f t="shared" si="1"/>
        <v>0.77499419352663468</v>
      </c>
      <c r="S25" s="57">
        <f t="shared" si="3"/>
        <v>3.078418944703718</v>
      </c>
    </row>
    <row r="26" spans="1:19" x14ac:dyDescent="0.25">
      <c r="A26">
        <v>5</v>
      </c>
      <c r="B26" s="148">
        <v>990.14</v>
      </c>
      <c r="C26" s="148">
        <v>1698.29</v>
      </c>
      <c r="D26" s="148">
        <v>40.869999999999997</v>
      </c>
      <c r="E26" s="136">
        <v>-134.88</v>
      </c>
      <c r="F26" s="148">
        <v>0.182</v>
      </c>
      <c r="G26" s="148">
        <v>9.1999999999999998E-2</v>
      </c>
      <c r="H26" s="148"/>
      <c r="I26" s="148">
        <v>246.09</v>
      </c>
      <c r="J26" s="148">
        <v>0.35</v>
      </c>
      <c r="K26" s="148">
        <v>92.56</v>
      </c>
      <c r="P26" s="57">
        <f t="shared" si="0"/>
        <v>0.82276181243424196</v>
      </c>
      <c r="Q26" s="57">
        <f t="shared" si="2"/>
        <v>1.4084769809308546</v>
      </c>
      <c r="R26" s="57">
        <f t="shared" si="1"/>
        <v>0.7417519801119502</v>
      </c>
      <c r="S26" s="57">
        <f t="shared" si="3"/>
        <v>2.9729907734770467</v>
      </c>
    </row>
    <row r="27" spans="1:19" x14ac:dyDescent="0.25">
      <c r="A27">
        <v>6</v>
      </c>
      <c r="B27" s="148">
        <v>990.13</v>
      </c>
      <c r="C27" s="148">
        <v>1698.32</v>
      </c>
      <c r="D27" s="148">
        <v>40.880000000000003</v>
      </c>
      <c r="E27" s="136">
        <v>-134.88200000000001</v>
      </c>
      <c r="F27" s="148">
        <v>0.18099999999999999</v>
      </c>
      <c r="G27" s="148">
        <v>0.09</v>
      </c>
      <c r="H27" s="148"/>
      <c r="I27" s="148">
        <v>246.07</v>
      </c>
      <c r="J27" s="148">
        <v>0.36</v>
      </c>
      <c r="K27" s="148">
        <v>92.59</v>
      </c>
      <c r="P27" s="57">
        <f t="shared" si="0"/>
        <v>0.85485495845789239</v>
      </c>
      <c r="Q27" s="57">
        <f t="shared" si="2"/>
        <v>1.3810191074705527</v>
      </c>
      <c r="R27" s="57">
        <f t="shared" si="1"/>
        <v>0.73077766796747767</v>
      </c>
      <c r="S27" s="57">
        <f t="shared" si="3"/>
        <v>2.9666517338959224</v>
      </c>
    </row>
    <row r="28" spans="1:19" x14ac:dyDescent="0.25">
      <c r="A28">
        <v>7</v>
      </c>
      <c r="B28" s="148">
        <v>990.1</v>
      </c>
      <c r="C28" s="148">
        <v>1698.21</v>
      </c>
      <c r="D28" s="148">
        <v>40.81</v>
      </c>
      <c r="E28" s="136">
        <v>-134.881</v>
      </c>
      <c r="F28" s="148">
        <v>0.17599999999999999</v>
      </c>
      <c r="G28" s="148">
        <v>9.2999999999999999E-2</v>
      </c>
      <c r="H28" s="148"/>
      <c r="I28" s="148">
        <v>246.11</v>
      </c>
      <c r="J28" s="148">
        <v>0.35</v>
      </c>
      <c r="K28" s="148">
        <v>92.6</v>
      </c>
      <c r="P28" s="57">
        <f t="shared" si="0"/>
        <v>0.74571911602166552</v>
      </c>
      <c r="Q28" s="57">
        <f t="shared" si="2"/>
        <v>1.3827288606076369</v>
      </c>
      <c r="R28" s="57">
        <f t="shared" si="1"/>
        <v>0.77078920594414835</v>
      </c>
      <c r="S28" s="57">
        <f t="shared" si="3"/>
        <v>2.8992371825734509</v>
      </c>
    </row>
    <row r="29" spans="1:19" x14ac:dyDescent="0.25">
      <c r="A29">
        <v>8</v>
      </c>
      <c r="B29" s="148">
        <v>990</v>
      </c>
      <c r="C29" s="148">
        <v>1697.98</v>
      </c>
      <c r="D29" s="148">
        <v>40.799999999999997</v>
      </c>
      <c r="E29" s="136">
        <v>-134.88499999999999</v>
      </c>
      <c r="F29" s="148">
        <v>0.16400000000000001</v>
      </c>
      <c r="G29" s="148">
        <v>9.5000000000000001E-2</v>
      </c>
      <c r="H29" s="148"/>
      <c r="I29" s="148">
        <v>246.07</v>
      </c>
      <c r="J29" s="148">
        <v>0.34</v>
      </c>
      <c r="K29" s="148">
        <v>92.53</v>
      </c>
      <c r="P29" s="57">
        <f t="shared" si="0"/>
        <v>0.64553621122294624</v>
      </c>
      <c r="Q29" s="57">
        <f t="shared" si="2"/>
        <v>1.3017089200710619</v>
      </c>
      <c r="R29" s="57">
        <f t="shared" si="1"/>
        <v>0.71523143107667198</v>
      </c>
      <c r="S29" s="57">
        <f t="shared" si="3"/>
        <v>2.6624765623706801</v>
      </c>
    </row>
    <row r="30" spans="1:19" x14ac:dyDescent="0.25">
      <c r="P30" s="57"/>
      <c r="Q30" s="57"/>
      <c r="R30" s="57"/>
    </row>
    <row r="31" spans="1:19" x14ac:dyDescent="0.25">
      <c r="P31" s="57"/>
      <c r="Q31" s="57"/>
      <c r="R31" s="57"/>
    </row>
    <row r="32" spans="1:19" x14ac:dyDescent="0.25">
      <c r="P32" s="57"/>
      <c r="Q32" s="57"/>
      <c r="R32" s="57"/>
    </row>
    <row r="33" spans="16:18" x14ac:dyDescent="0.25">
      <c r="P33" s="57"/>
      <c r="Q33" s="57"/>
      <c r="R33" s="134"/>
    </row>
    <row r="34" spans="16:18" x14ac:dyDescent="0.25">
      <c r="P34" s="57"/>
      <c r="Q34" s="57"/>
      <c r="R34" s="134"/>
    </row>
    <row r="35" spans="16:18" x14ac:dyDescent="0.25">
      <c r="P35" s="57"/>
      <c r="Q35" s="57"/>
      <c r="R35" s="57"/>
    </row>
    <row r="36" spans="16:18" x14ac:dyDescent="0.25">
      <c r="P36" s="57"/>
      <c r="Q36" s="57"/>
      <c r="R36" s="57"/>
    </row>
    <row r="37" spans="16:18" x14ac:dyDescent="0.25">
      <c r="P37" s="57"/>
      <c r="Q37" s="57"/>
      <c r="R37" s="57"/>
    </row>
    <row r="38" spans="16:18" x14ac:dyDescent="0.25">
      <c r="P38" s="57"/>
      <c r="Q38" s="57"/>
      <c r="R38" s="57"/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FAE4-087C-4FCF-BB85-10325B4361C8}">
  <dimension ref="A1:R83"/>
  <sheetViews>
    <sheetView zoomScale="85" zoomScaleNormal="85" workbookViewId="0">
      <selection activeCell="P1" sqref="P1:R1"/>
    </sheetView>
  </sheetViews>
  <sheetFormatPr baseColWidth="10" defaultRowHeight="15" x14ac:dyDescent="0.25"/>
  <cols>
    <col min="1" max="1" width="36.5703125" customWidth="1"/>
    <col min="16" max="16" width="25" customWidth="1"/>
    <col min="17" max="17" width="22.7109375" customWidth="1"/>
    <col min="18" max="18" width="25.42578125" customWidth="1"/>
  </cols>
  <sheetData>
    <row r="1" spans="1:18" x14ac:dyDescent="0.25">
      <c r="A1" s="42" t="s">
        <v>1</v>
      </c>
      <c r="B1">
        <v>990.41800000000001</v>
      </c>
      <c r="C1">
        <v>1697.6479999999999</v>
      </c>
      <c r="D1">
        <v>40.436999999999998</v>
      </c>
      <c r="E1">
        <v>-134.959</v>
      </c>
      <c r="F1">
        <v>0.123</v>
      </c>
      <c r="G1">
        <v>0.108</v>
      </c>
      <c r="H1" s="42" t="s">
        <v>164</v>
      </c>
      <c r="I1">
        <v>245.37</v>
      </c>
      <c r="J1">
        <v>0.28000000000000003</v>
      </c>
      <c r="K1">
        <v>92.396000000000001</v>
      </c>
      <c r="L1">
        <v>0.15</v>
      </c>
      <c r="M1">
        <v>90.01</v>
      </c>
      <c r="N1">
        <v>0.2</v>
      </c>
      <c r="P1" t="s">
        <v>423</v>
      </c>
      <c r="Q1" t="s">
        <v>425</v>
      </c>
      <c r="R1" t="s">
        <v>424</v>
      </c>
    </row>
    <row r="2" spans="1:18" x14ac:dyDescent="0.25">
      <c r="I2" s="40"/>
    </row>
    <row r="4" spans="1:18" x14ac:dyDescent="0.25">
      <c r="A4" t="s">
        <v>138</v>
      </c>
      <c r="B4">
        <v>989.84</v>
      </c>
      <c r="C4">
        <v>1698.92</v>
      </c>
      <c r="D4">
        <v>41.38</v>
      </c>
      <c r="E4">
        <v>-134.88</v>
      </c>
      <c r="F4">
        <v>0.17899999999999999</v>
      </c>
      <c r="G4">
        <v>7.0999999999999994E-2</v>
      </c>
      <c r="H4" s="40"/>
      <c r="I4" s="40"/>
      <c r="J4" s="40"/>
      <c r="K4" s="40"/>
      <c r="P4" s="57">
        <f t="shared" ref="P4:P7" si="0">SQRT((B4-$B$1)^2+(C4-$C$1)^2+(D4-$D$1)^2)</f>
        <v>1.6856206572062387</v>
      </c>
      <c r="Q4" s="57">
        <f t="shared" ref="Q4:Q7" si="1">SQRT(((E4-$E$1)*PI()/180*1000)^2+((F4-$F$1)*PI()/180*1000)^2*((G4-$G$1)*PI()/180*1000)^2)</f>
        <v>1.5164067625968922</v>
      </c>
      <c r="R4" s="57">
        <f t="shared" ref="R4:R6" si="2">SQRT((I4-$I$1)^2+(J4-$J$1)^2+(K4-$K$1)^2)</f>
        <v>262.18988560964743</v>
      </c>
    </row>
    <row r="5" spans="1:18" x14ac:dyDescent="0.25">
      <c r="A5" t="s">
        <v>137</v>
      </c>
      <c r="B5">
        <v>989.87</v>
      </c>
      <c r="C5">
        <v>1698.86</v>
      </c>
      <c r="D5">
        <v>41.08</v>
      </c>
      <c r="E5">
        <v>-134.87899999999999</v>
      </c>
      <c r="F5">
        <v>0.17499999999999999</v>
      </c>
      <c r="G5">
        <v>7.5999999999999998E-2</v>
      </c>
      <c r="H5" s="40"/>
      <c r="I5" s="40"/>
      <c r="J5" s="40"/>
      <c r="K5" s="40"/>
      <c r="P5" s="57">
        <f t="shared" si="0"/>
        <v>1.4773953431630873</v>
      </c>
      <c r="Q5" s="57">
        <f t="shared" si="1"/>
        <v>1.4854232575837369</v>
      </c>
      <c r="R5" s="57">
        <f t="shared" si="2"/>
        <v>262.18988560964743</v>
      </c>
    </row>
    <row r="6" spans="1:18" x14ac:dyDescent="0.25">
      <c r="A6" t="s">
        <v>309</v>
      </c>
      <c r="B6" s="40">
        <v>989.85</v>
      </c>
      <c r="C6" s="40">
        <v>1698.19</v>
      </c>
      <c r="D6" s="40">
        <v>40.81</v>
      </c>
      <c r="E6" s="136">
        <v>-134.886</v>
      </c>
      <c r="F6" s="40">
        <v>0.16300000000000001</v>
      </c>
      <c r="G6" s="40">
        <v>8.1000000000000003E-2</v>
      </c>
      <c r="H6" s="40"/>
      <c r="I6" s="40"/>
      <c r="J6" s="40"/>
      <c r="K6" s="40"/>
      <c r="P6" s="57">
        <f t="shared" si="0"/>
        <v>0.86920480900656583</v>
      </c>
      <c r="Q6" s="57">
        <f t="shared" si="1"/>
        <v>1.3158793840678626</v>
      </c>
      <c r="R6" s="57">
        <f t="shared" si="2"/>
        <v>262.18988560964743</v>
      </c>
    </row>
    <row r="7" spans="1:18" x14ac:dyDescent="0.25">
      <c r="A7" t="s">
        <v>140</v>
      </c>
      <c r="B7">
        <v>989.97</v>
      </c>
      <c r="C7">
        <v>1698.05</v>
      </c>
      <c r="D7">
        <v>40.950000000000003</v>
      </c>
      <c r="E7">
        <v>-134.88200000000001</v>
      </c>
      <c r="F7">
        <v>0.17</v>
      </c>
      <c r="G7">
        <v>8.2000000000000003E-2</v>
      </c>
      <c r="H7" s="40"/>
      <c r="I7" s="40"/>
      <c r="J7" s="40"/>
      <c r="P7" s="57">
        <f t="shared" si="0"/>
        <v>0.79087103879205356</v>
      </c>
      <c r="Q7" s="57">
        <f t="shared" si="1"/>
        <v>1.3945039085739013</v>
      </c>
      <c r="R7" s="57">
        <f>SQRT((I7-$I$1)^2+(J7-$J$1)^2+(B74-$K$1)^2)</f>
        <v>546.82590205292956</v>
      </c>
    </row>
    <row r="8" spans="1:18" x14ac:dyDescent="0.25">
      <c r="A8" t="s">
        <v>310</v>
      </c>
      <c r="B8">
        <v>990.25</v>
      </c>
      <c r="C8">
        <v>1697.97</v>
      </c>
      <c r="D8">
        <v>40.74</v>
      </c>
      <c r="E8">
        <v>-134.88499999999999</v>
      </c>
      <c r="F8">
        <v>0.16900000000000001</v>
      </c>
      <c r="G8">
        <v>9.4E-2</v>
      </c>
      <c r="H8" s="40"/>
      <c r="I8" s="40"/>
      <c r="J8" s="40"/>
      <c r="P8" s="57">
        <f t="shared" ref="P8" si="3">SQRT((B8-$B$1)^2+(C8-$C$1)^2+(D8-$D$1)^2)</f>
        <v>0.47298731484055656</v>
      </c>
      <c r="Q8" s="57">
        <f t="shared" ref="Q8" si="4">SQRT(((E8-$E$1)*PI()/180*1000)^2+((F8-$F$1)*PI()/180*1000)^2*((G8-$G$1)*PI()/180*1000)^2)</f>
        <v>1.3063571790617654</v>
      </c>
      <c r="R8" s="57">
        <f>SQRT((I8-$I$1)^2+(J8-$J$1)^2+(B75-$K$1)^2)</f>
        <v>427.9201518461125</v>
      </c>
    </row>
    <row r="9" spans="1:18" x14ac:dyDescent="0.25">
      <c r="B9" s="40"/>
      <c r="C9" s="40"/>
      <c r="D9" s="40"/>
      <c r="E9" s="135"/>
      <c r="F9" s="40"/>
      <c r="G9" s="40"/>
      <c r="H9" s="40"/>
      <c r="I9" s="40"/>
      <c r="J9" s="40"/>
      <c r="P9" s="57"/>
      <c r="Q9" s="57"/>
      <c r="R9" s="57"/>
    </row>
    <row r="10" spans="1:18" x14ac:dyDescent="0.25">
      <c r="B10" s="40"/>
      <c r="C10" s="40"/>
      <c r="D10" s="40"/>
      <c r="E10" s="135"/>
      <c r="F10" s="40"/>
      <c r="G10" s="40"/>
      <c r="H10" s="40"/>
      <c r="I10" s="40"/>
      <c r="J10" s="40"/>
      <c r="P10" s="57"/>
      <c r="Q10" s="57"/>
      <c r="R10" s="57"/>
    </row>
    <row r="11" spans="1:18" x14ac:dyDescent="0.25">
      <c r="B11" s="40"/>
      <c r="C11" s="40"/>
      <c r="D11" s="40"/>
      <c r="E11" s="135"/>
      <c r="F11" s="40"/>
      <c r="G11" s="40"/>
      <c r="H11" s="40"/>
      <c r="I11" s="40"/>
      <c r="J11" s="40"/>
      <c r="P11" s="57"/>
      <c r="Q11" s="57"/>
      <c r="R11" s="57"/>
    </row>
    <row r="12" spans="1:18" x14ac:dyDescent="0.25">
      <c r="B12" s="40"/>
      <c r="C12" s="40"/>
      <c r="D12" s="40"/>
      <c r="E12" s="135"/>
      <c r="F12" s="40"/>
      <c r="G12" s="40"/>
      <c r="H12" s="40"/>
      <c r="I12" s="40"/>
      <c r="J12" s="40"/>
      <c r="P12" s="57"/>
      <c r="Q12" s="57"/>
      <c r="R12" s="57"/>
    </row>
    <row r="13" spans="1:18" x14ac:dyDescent="0.25">
      <c r="B13" s="134"/>
      <c r="C13" s="134"/>
      <c r="D13" s="134"/>
      <c r="E13" s="134"/>
      <c r="F13" s="134"/>
      <c r="G13" s="134"/>
      <c r="H13" s="134"/>
      <c r="I13" s="40"/>
      <c r="J13" s="40"/>
      <c r="K13" s="40"/>
      <c r="L13" s="136"/>
      <c r="M13" s="40"/>
      <c r="N13" s="40"/>
      <c r="P13" s="57"/>
      <c r="Q13" s="57"/>
      <c r="R13" s="57"/>
    </row>
    <row r="14" spans="1:18" x14ac:dyDescent="0.25">
      <c r="B14" s="134"/>
      <c r="C14" s="134"/>
      <c r="D14" s="134"/>
      <c r="E14" s="134"/>
      <c r="F14" s="134"/>
      <c r="G14" s="134"/>
      <c r="H14" s="134"/>
      <c r="I14" s="134"/>
      <c r="J14" s="134"/>
      <c r="P14" s="57"/>
      <c r="Q14" s="57"/>
      <c r="R14" s="57"/>
    </row>
    <row r="15" spans="1:18" x14ac:dyDescent="0.25">
      <c r="B15" s="134"/>
      <c r="C15" s="134"/>
      <c r="D15" s="134"/>
      <c r="E15" s="134"/>
      <c r="F15" s="134"/>
      <c r="G15" s="134"/>
      <c r="H15" s="134"/>
      <c r="I15" s="134"/>
      <c r="J15" s="134"/>
      <c r="P15" s="57"/>
      <c r="Q15" s="57"/>
      <c r="R15" s="57"/>
    </row>
    <row r="16" spans="1:18" x14ac:dyDescent="0.25">
      <c r="B16" s="40"/>
      <c r="C16" s="40"/>
      <c r="D16" s="40"/>
      <c r="E16" s="135"/>
      <c r="F16" s="40"/>
      <c r="G16" s="40"/>
      <c r="H16" s="40"/>
      <c r="I16" s="40"/>
      <c r="J16" s="40"/>
      <c r="P16" s="57"/>
      <c r="Q16" s="57"/>
      <c r="R16" s="57"/>
    </row>
    <row r="17" spans="2:18" x14ac:dyDescent="0.25">
      <c r="B17" s="40"/>
      <c r="C17" s="40"/>
      <c r="D17" s="40"/>
      <c r="E17" s="135"/>
      <c r="F17" s="40"/>
      <c r="G17" s="40"/>
      <c r="H17" s="40"/>
      <c r="I17" s="40"/>
      <c r="J17" s="40"/>
      <c r="K17" s="40"/>
      <c r="P17" s="57"/>
      <c r="Q17" s="57"/>
      <c r="R17" s="57"/>
    </row>
    <row r="18" spans="2:18" x14ac:dyDescent="0.25">
      <c r="B18" s="40"/>
      <c r="C18" s="40"/>
      <c r="D18" s="40"/>
      <c r="E18" s="136"/>
      <c r="F18" s="40"/>
      <c r="G18" s="40"/>
      <c r="H18" s="40"/>
      <c r="I18" s="40"/>
      <c r="J18" s="40"/>
      <c r="K18" s="40"/>
      <c r="P18" s="57"/>
      <c r="Q18" s="57"/>
      <c r="R18" s="57"/>
    </row>
    <row r="19" spans="2:18" x14ac:dyDescent="0.25">
      <c r="B19" s="40"/>
      <c r="C19" s="40"/>
      <c r="D19" s="40"/>
      <c r="E19" s="136"/>
      <c r="F19" s="40"/>
      <c r="G19" s="40"/>
      <c r="H19" s="40"/>
      <c r="I19" s="40"/>
      <c r="J19" s="40"/>
      <c r="K19" s="40"/>
      <c r="P19" s="57"/>
      <c r="Q19" s="57"/>
      <c r="R19" s="57"/>
    </row>
    <row r="20" spans="2:18" x14ac:dyDescent="0.25">
      <c r="B20" s="40"/>
      <c r="C20" s="40"/>
      <c r="D20" s="40"/>
      <c r="E20" s="136"/>
      <c r="F20" s="40"/>
      <c r="G20" s="40"/>
      <c r="H20" s="40"/>
      <c r="I20" s="40"/>
      <c r="J20" s="40"/>
      <c r="K20" s="40"/>
      <c r="P20" s="57"/>
      <c r="Q20" s="57"/>
      <c r="R20" s="57"/>
    </row>
    <row r="21" spans="2:18" x14ac:dyDescent="0.25">
      <c r="B21" s="40"/>
      <c r="C21" s="40"/>
      <c r="D21" s="40"/>
      <c r="E21" s="135"/>
      <c r="F21" s="40"/>
      <c r="G21" s="40"/>
      <c r="H21" s="40"/>
      <c r="I21" s="40"/>
      <c r="J21" s="40"/>
      <c r="K21" s="40"/>
      <c r="P21" s="57"/>
      <c r="Q21" s="57"/>
      <c r="R21" s="57"/>
    </row>
    <row r="22" spans="2:18" x14ac:dyDescent="0.25">
      <c r="B22" s="40"/>
      <c r="C22" s="40"/>
      <c r="D22" s="40"/>
      <c r="E22" s="135"/>
      <c r="F22" s="40"/>
      <c r="G22" s="40"/>
      <c r="H22" s="40"/>
      <c r="I22" s="40"/>
      <c r="J22" s="40"/>
      <c r="K22" s="40"/>
      <c r="P22" s="57"/>
      <c r="Q22" s="57"/>
      <c r="R22" s="57"/>
    </row>
    <row r="23" spans="2:18" x14ac:dyDescent="0.25">
      <c r="B23" s="40"/>
      <c r="C23" s="40"/>
      <c r="D23" s="40"/>
      <c r="E23" s="135"/>
      <c r="F23" s="40"/>
      <c r="G23" s="40"/>
      <c r="H23" s="40"/>
      <c r="I23" s="40"/>
      <c r="J23" s="40"/>
      <c r="K23" s="40"/>
      <c r="P23" s="57"/>
      <c r="Q23" s="57"/>
      <c r="R23" s="57"/>
    </row>
    <row r="24" spans="2:18" x14ac:dyDescent="0.25">
      <c r="B24" s="40"/>
      <c r="C24" s="40"/>
      <c r="D24" s="40"/>
      <c r="E24" s="135"/>
      <c r="F24" s="40"/>
      <c r="G24" s="40"/>
      <c r="H24" s="40"/>
      <c r="I24" s="40"/>
      <c r="J24" s="40"/>
      <c r="K24" s="40"/>
      <c r="P24" s="57"/>
      <c r="Q24" s="57"/>
      <c r="R24" s="57"/>
    </row>
    <row r="25" spans="2:18" x14ac:dyDescent="0.25">
      <c r="B25" s="40"/>
      <c r="C25" s="40"/>
      <c r="D25" s="40"/>
      <c r="E25" s="135"/>
      <c r="F25" s="40"/>
      <c r="G25" s="40"/>
      <c r="H25" s="40"/>
      <c r="I25" s="40"/>
      <c r="J25" s="40"/>
      <c r="K25" s="40"/>
      <c r="P25" s="57"/>
      <c r="Q25" s="57"/>
      <c r="R25" s="57"/>
    </row>
    <row r="26" spans="2:18" x14ac:dyDescent="0.25">
      <c r="B26" s="40"/>
      <c r="C26" s="40"/>
      <c r="D26" s="40"/>
      <c r="E26" s="135"/>
      <c r="F26" s="40"/>
      <c r="G26" s="40"/>
      <c r="H26" s="40"/>
      <c r="I26" s="40"/>
      <c r="J26" s="40"/>
      <c r="K26" s="40"/>
      <c r="P26" s="57"/>
      <c r="Q26" s="57"/>
      <c r="R26" s="57"/>
    </row>
    <row r="27" spans="2:18" x14ac:dyDescent="0.25">
      <c r="B27" s="40"/>
      <c r="C27" s="40"/>
      <c r="D27" s="40"/>
      <c r="E27" s="135"/>
      <c r="F27" s="40"/>
      <c r="G27" s="40"/>
      <c r="H27" s="40"/>
      <c r="I27" s="40"/>
      <c r="J27" s="40"/>
      <c r="K27" s="40"/>
      <c r="P27" s="57"/>
      <c r="Q27" s="57"/>
      <c r="R27" s="57"/>
    </row>
    <row r="28" spans="2:18" x14ac:dyDescent="0.25">
      <c r="B28" s="40"/>
      <c r="C28" s="40"/>
      <c r="D28" s="40"/>
      <c r="E28" s="135"/>
      <c r="F28" s="40"/>
      <c r="G28" s="40"/>
      <c r="H28" s="40"/>
      <c r="I28" s="40"/>
      <c r="J28" s="40"/>
      <c r="K28" s="40"/>
      <c r="P28" s="57"/>
      <c r="Q28" s="57"/>
      <c r="R28" s="57"/>
    </row>
    <row r="29" spans="2:18" x14ac:dyDescent="0.25">
      <c r="B29" s="40"/>
      <c r="C29" s="40"/>
      <c r="D29" s="40"/>
      <c r="E29" s="135"/>
      <c r="F29" s="40"/>
      <c r="G29" s="40"/>
      <c r="H29" s="40"/>
      <c r="I29" s="40"/>
      <c r="J29" s="40"/>
      <c r="K29" s="40"/>
      <c r="P29" s="57"/>
      <c r="Q29" s="57"/>
      <c r="R29" s="57"/>
    </row>
    <row r="30" spans="2:18" x14ac:dyDescent="0.25">
      <c r="P30" s="57"/>
      <c r="Q30" s="57"/>
      <c r="R30" s="57"/>
    </row>
    <row r="31" spans="2:18" x14ac:dyDescent="0.25">
      <c r="P31" s="57"/>
      <c r="Q31" s="57"/>
      <c r="R31" s="57"/>
    </row>
    <row r="32" spans="2:18" x14ac:dyDescent="0.25">
      <c r="I32" t="s">
        <v>362</v>
      </c>
      <c r="J32" t="s">
        <v>363</v>
      </c>
      <c r="K32" t="s">
        <v>364</v>
      </c>
      <c r="P32" s="57"/>
      <c r="Q32" s="57"/>
      <c r="R32" s="57"/>
    </row>
    <row r="33" spans="1:18" ht="15.75" thickBot="1" x14ac:dyDescent="0.3">
      <c r="B33" s="39"/>
      <c r="C33" s="39"/>
      <c r="D33" s="39"/>
      <c r="E33" s="39"/>
      <c r="F33" s="39"/>
      <c r="G33" s="39"/>
      <c r="H33" s="40" t="s">
        <v>292</v>
      </c>
      <c r="I33">
        <v>1899.94</v>
      </c>
      <c r="J33">
        <v>498.31</v>
      </c>
      <c r="K33">
        <v>663.88</v>
      </c>
      <c r="P33" s="57"/>
      <c r="Q33" s="57"/>
      <c r="R33" s="134"/>
    </row>
    <row r="34" spans="1:18" x14ac:dyDescent="0.25">
      <c r="A34" s="21" t="s">
        <v>252</v>
      </c>
      <c r="B34" s="22">
        <v>1987.67</v>
      </c>
      <c r="C34" s="24">
        <v>1771.61</v>
      </c>
      <c r="D34">
        <f>SQRT(B34^2+C34^2)</f>
        <v>2662.5991100802239</v>
      </c>
      <c r="E34">
        <f>AVERAGE(D34:D43)</f>
        <v>3053.7713143953447</v>
      </c>
      <c r="P34" s="57"/>
      <c r="Q34" s="57"/>
      <c r="R34" s="134"/>
    </row>
    <row r="35" spans="1:18" x14ac:dyDescent="0.25">
      <c r="A35" s="25" t="s">
        <v>253</v>
      </c>
      <c r="B35" s="5">
        <v>2271</v>
      </c>
      <c r="C35" s="26">
        <v>1961.47</v>
      </c>
      <c r="D35">
        <f t="shared" ref="D35:D83" si="5">SQRT(B35^2+C35^2)</f>
        <v>3000.8008199312394</v>
      </c>
      <c r="P35" s="57"/>
      <c r="Q35" s="57"/>
      <c r="R35" s="57"/>
    </row>
    <row r="36" spans="1:18" x14ac:dyDescent="0.25">
      <c r="A36" s="25" t="s">
        <v>254</v>
      </c>
      <c r="B36" s="5">
        <v>2489.0500000000002</v>
      </c>
      <c r="C36" s="26">
        <v>1996.35</v>
      </c>
      <c r="D36">
        <f t="shared" si="5"/>
        <v>3190.7339633695569</v>
      </c>
      <c r="P36" s="57"/>
      <c r="Q36" s="57"/>
      <c r="R36" s="57"/>
    </row>
    <row r="37" spans="1:18" x14ac:dyDescent="0.25">
      <c r="A37" s="25" t="s">
        <v>255</v>
      </c>
      <c r="B37" s="5">
        <v>2021.15</v>
      </c>
      <c r="C37" s="26">
        <v>1781.14</v>
      </c>
      <c r="D37">
        <f t="shared" si="5"/>
        <v>2693.976061901813</v>
      </c>
      <c r="P37" s="57"/>
      <c r="Q37" s="57"/>
      <c r="R37" s="57"/>
    </row>
    <row r="38" spans="1:18" x14ac:dyDescent="0.25">
      <c r="A38" s="25" t="s">
        <v>256</v>
      </c>
      <c r="B38" s="5">
        <v>2889.2</v>
      </c>
      <c r="C38" s="26">
        <v>1858.89</v>
      </c>
      <c r="D38">
        <f t="shared" si="5"/>
        <v>3435.5419764718345</v>
      </c>
      <c r="P38" s="57"/>
      <c r="Q38" s="57"/>
      <c r="R38" s="57"/>
    </row>
    <row r="39" spans="1:18" x14ac:dyDescent="0.25">
      <c r="A39" s="25" t="s">
        <v>257</v>
      </c>
      <c r="B39" s="5">
        <v>2832.49</v>
      </c>
      <c r="C39" s="26">
        <v>1561.6</v>
      </c>
      <c r="D39">
        <f t="shared" si="5"/>
        <v>3234.4387704979049</v>
      </c>
    </row>
    <row r="40" spans="1:18" x14ac:dyDescent="0.25">
      <c r="A40" s="25" t="s">
        <v>258</v>
      </c>
      <c r="B40" s="5">
        <v>3122.69</v>
      </c>
      <c r="C40" s="26">
        <v>925.01</v>
      </c>
      <c r="D40">
        <f t="shared" si="5"/>
        <v>3256.8138319836462</v>
      </c>
    </row>
    <row r="41" spans="1:18" x14ac:dyDescent="0.25">
      <c r="A41" s="25" t="s">
        <v>259</v>
      </c>
      <c r="B41" s="5">
        <v>2915.91</v>
      </c>
      <c r="C41" s="26">
        <v>1104.3599999999999</v>
      </c>
      <c r="D41">
        <f t="shared" si="5"/>
        <v>3118.0349801918514</v>
      </c>
    </row>
    <row r="42" spans="1:18" x14ac:dyDescent="0.25">
      <c r="A42" s="25" t="s">
        <v>260</v>
      </c>
      <c r="B42" s="5">
        <v>2075.34</v>
      </c>
      <c r="C42" s="26">
        <v>1524.86</v>
      </c>
      <c r="D42">
        <f t="shared" si="5"/>
        <v>2575.3124344824651</v>
      </c>
    </row>
    <row r="43" spans="1:18" ht="15.75" thickBot="1" x14ac:dyDescent="0.3">
      <c r="A43" s="27" t="s">
        <v>261</v>
      </c>
      <c r="B43" s="28">
        <v>2561.6799999999998</v>
      </c>
      <c r="C43" s="30">
        <v>2188.85</v>
      </c>
      <c r="D43">
        <f t="shared" si="5"/>
        <v>3369.4611950429107</v>
      </c>
    </row>
    <row r="44" spans="1:18" x14ac:dyDescent="0.25">
      <c r="A44" s="21" t="s">
        <v>262</v>
      </c>
      <c r="B44" s="22">
        <v>1046.75</v>
      </c>
      <c r="C44" s="24">
        <v>-767.18</v>
      </c>
      <c r="D44">
        <f t="shared" si="5"/>
        <v>1297.7868526456878</v>
      </c>
      <c r="E44">
        <f>AVERAGE(D44:D53)</f>
        <v>1399.6485713641421</v>
      </c>
    </row>
    <row r="45" spans="1:18" x14ac:dyDescent="0.25">
      <c r="A45" s="25" t="s">
        <v>263</v>
      </c>
      <c r="B45" s="5">
        <v>956.92</v>
      </c>
      <c r="C45" s="26">
        <v>-716.79</v>
      </c>
      <c r="D45">
        <f t="shared" si="5"/>
        <v>1195.6102167930817</v>
      </c>
    </row>
    <row r="46" spans="1:18" x14ac:dyDescent="0.25">
      <c r="A46" s="25" t="s">
        <v>264</v>
      </c>
      <c r="B46" s="5">
        <v>842.54</v>
      </c>
      <c r="C46" s="26">
        <v>-1125.1199999999999</v>
      </c>
      <c r="D46">
        <f t="shared" si="5"/>
        <v>1405.6203847412003</v>
      </c>
    </row>
    <row r="47" spans="1:18" x14ac:dyDescent="0.25">
      <c r="A47" s="25" t="s">
        <v>265</v>
      </c>
      <c r="B47" s="5">
        <v>1571.29</v>
      </c>
      <c r="C47" s="26">
        <v>-1176.31</v>
      </c>
      <c r="D47">
        <f t="shared" si="5"/>
        <v>1962.8187588771409</v>
      </c>
    </row>
    <row r="48" spans="1:18" x14ac:dyDescent="0.25">
      <c r="A48" s="25" t="s">
        <v>266</v>
      </c>
      <c r="B48" s="5">
        <v>1131.05</v>
      </c>
      <c r="C48" s="26">
        <v>-1375.18</v>
      </c>
      <c r="D48">
        <f t="shared" si="5"/>
        <v>1780.5600621433696</v>
      </c>
    </row>
    <row r="49" spans="1:5" x14ac:dyDescent="0.25">
      <c r="A49" s="25" t="s">
        <v>267</v>
      </c>
      <c r="B49" s="5">
        <v>1149.5899999999999</v>
      </c>
      <c r="C49" s="26">
        <v>-1122.22</v>
      </c>
      <c r="D49">
        <f t="shared" si="5"/>
        <v>1606.5288346307389</v>
      </c>
    </row>
    <row r="50" spans="1:5" x14ac:dyDescent="0.25">
      <c r="A50" s="25" t="s">
        <v>268</v>
      </c>
      <c r="B50" s="5">
        <v>1360.22</v>
      </c>
      <c r="C50" s="26">
        <v>-487.42</v>
      </c>
      <c r="D50">
        <f t="shared" si="5"/>
        <v>1444.9140821515998</v>
      </c>
    </row>
    <row r="51" spans="1:5" x14ac:dyDescent="0.25">
      <c r="A51" s="25" t="s">
        <v>269</v>
      </c>
      <c r="B51" s="5">
        <v>799.36</v>
      </c>
      <c r="C51" s="26">
        <v>-605.75</v>
      </c>
      <c r="D51">
        <f t="shared" si="5"/>
        <v>1002.9503836681055</v>
      </c>
    </row>
    <row r="52" spans="1:5" x14ac:dyDescent="0.25">
      <c r="A52" s="25" t="s">
        <v>270</v>
      </c>
      <c r="B52" s="5">
        <v>444.47</v>
      </c>
      <c r="C52" s="26">
        <v>-730.9</v>
      </c>
      <c r="D52">
        <f t="shared" si="5"/>
        <v>855.43462105528556</v>
      </c>
    </row>
    <row r="53" spans="1:5" ht="15.75" thickBot="1" x14ac:dyDescent="0.3">
      <c r="A53" s="27" t="s">
        <v>271</v>
      </c>
      <c r="B53" s="28">
        <v>1088.03</v>
      </c>
      <c r="C53" s="30">
        <v>-949.78</v>
      </c>
      <c r="D53">
        <f t="shared" si="5"/>
        <v>1444.2615169352121</v>
      </c>
    </row>
    <row r="54" spans="1:5" x14ac:dyDescent="0.25">
      <c r="A54" s="21" t="s">
        <v>272</v>
      </c>
      <c r="B54" s="22">
        <v>2223.66</v>
      </c>
      <c r="C54" s="24">
        <v>1604.58</v>
      </c>
      <c r="D54">
        <f t="shared" si="5"/>
        <v>2742.1416396677978</v>
      </c>
      <c r="E54">
        <f>AVERAGE(D54:D63)</f>
        <v>3133.4255785465007</v>
      </c>
    </row>
    <row r="55" spans="1:5" x14ac:dyDescent="0.25">
      <c r="A55" s="25" t="s">
        <v>273</v>
      </c>
      <c r="B55" s="5">
        <v>1921.96</v>
      </c>
      <c r="C55" s="26">
        <v>1682.89</v>
      </c>
      <c r="D55">
        <f t="shared" si="5"/>
        <v>2554.613276740728</v>
      </c>
    </row>
    <row r="56" spans="1:5" x14ac:dyDescent="0.25">
      <c r="A56" s="25" t="s">
        <v>274</v>
      </c>
      <c r="B56" s="5">
        <v>2976.42</v>
      </c>
      <c r="C56" s="26">
        <v>1606.73</v>
      </c>
      <c r="D56">
        <f t="shared" si="5"/>
        <v>3382.4040724461056</v>
      </c>
    </row>
    <row r="57" spans="1:5" x14ac:dyDescent="0.25">
      <c r="A57" s="25" t="s">
        <v>275</v>
      </c>
      <c r="B57" s="5">
        <v>3082.78</v>
      </c>
      <c r="C57" s="26">
        <v>852.67</v>
      </c>
      <c r="D57">
        <f t="shared" si="5"/>
        <v>3198.5275764482635</v>
      </c>
    </row>
    <row r="58" spans="1:5" x14ac:dyDescent="0.25">
      <c r="A58" s="25" t="s">
        <v>276</v>
      </c>
      <c r="B58" s="5">
        <v>2940.68</v>
      </c>
      <c r="C58" s="26">
        <v>851.17</v>
      </c>
      <c r="D58">
        <f t="shared" si="5"/>
        <v>3061.3868150398762</v>
      </c>
    </row>
    <row r="59" spans="1:5" x14ac:dyDescent="0.25">
      <c r="A59" s="25" t="s">
        <v>277</v>
      </c>
      <c r="B59" s="5">
        <v>3127.39</v>
      </c>
      <c r="C59" s="26">
        <v>285.88</v>
      </c>
      <c r="D59">
        <f t="shared" si="5"/>
        <v>3140.4292041853132</v>
      </c>
    </row>
    <row r="60" spans="1:5" x14ac:dyDescent="0.25">
      <c r="A60" s="25" t="s">
        <v>278</v>
      </c>
      <c r="B60" s="5">
        <v>2979.59</v>
      </c>
      <c r="C60" s="26">
        <v>1234.1400000000001</v>
      </c>
      <c r="D60">
        <f t="shared" si="5"/>
        <v>3225.0671477815777</v>
      </c>
    </row>
    <row r="61" spans="1:5" x14ac:dyDescent="0.25">
      <c r="A61" s="25" t="s">
        <v>279</v>
      </c>
      <c r="B61" s="5">
        <v>2885.56</v>
      </c>
      <c r="C61" s="26">
        <v>1766.76</v>
      </c>
      <c r="D61">
        <f t="shared" si="5"/>
        <v>3383.4741629278033</v>
      </c>
    </row>
    <row r="62" spans="1:5" x14ac:dyDescent="0.25">
      <c r="A62" s="25" t="s">
        <v>280</v>
      </c>
      <c r="B62" s="5">
        <v>2953.11</v>
      </c>
      <c r="C62" s="26">
        <v>2068.5500000000002</v>
      </c>
      <c r="D62">
        <f t="shared" si="5"/>
        <v>3605.5176846882891</v>
      </c>
    </row>
    <row r="63" spans="1:5" ht="15.75" thickBot="1" x14ac:dyDescent="0.3">
      <c r="A63" s="27" t="s">
        <v>281</v>
      </c>
      <c r="B63" s="28">
        <v>2160.54</v>
      </c>
      <c r="C63" s="30">
        <v>2139.6</v>
      </c>
      <c r="D63">
        <f t="shared" si="5"/>
        <v>3040.6942055392547</v>
      </c>
    </row>
    <row r="64" spans="1:5" x14ac:dyDescent="0.25">
      <c r="A64" s="21" t="s">
        <v>282</v>
      </c>
      <c r="B64" s="22">
        <v>298.89999999999998</v>
      </c>
      <c r="C64" s="24">
        <v>100.91</v>
      </c>
      <c r="D64">
        <f t="shared" si="5"/>
        <v>315.47430656077205</v>
      </c>
      <c r="E64">
        <f>AVERAGE(D64:D73)</f>
        <v>376.31645101664742</v>
      </c>
    </row>
    <row r="65" spans="1:5" x14ac:dyDescent="0.25">
      <c r="A65" s="25" t="s">
        <v>283</v>
      </c>
      <c r="B65" s="5">
        <v>72.44</v>
      </c>
      <c r="C65" s="26">
        <v>34.96</v>
      </c>
      <c r="D65">
        <f t="shared" si="5"/>
        <v>80.4347884935368</v>
      </c>
    </row>
    <row r="66" spans="1:5" x14ac:dyDescent="0.25">
      <c r="A66" s="25" t="s">
        <v>284</v>
      </c>
      <c r="B66" s="5">
        <v>234.6</v>
      </c>
      <c r="C66" s="26">
        <v>-113.9</v>
      </c>
      <c r="D66">
        <f t="shared" si="5"/>
        <v>260.7879790174386</v>
      </c>
    </row>
    <row r="67" spans="1:5" x14ac:dyDescent="0.25">
      <c r="A67" s="25" t="s">
        <v>285</v>
      </c>
      <c r="B67" s="5">
        <v>218.78</v>
      </c>
      <c r="C67" s="26">
        <v>-336.45</v>
      </c>
      <c r="D67">
        <f t="shared" si="5"/>
        <v>401.32691275318177</v>
      </c>
    </row>
    <row r="68" spans="1:5" x14ac:dyDescent="0.25">
      <c r="A68" s="25" t="s">
        <v>286</v>
      </c>
      <c r="B68" s="5">
        <v>122.55</v>
      </c>
      <c r="C68" s="26">
        <v>168.79</v>
      </c>
      <c r="D68">
        <f t="shared" si="5"/>
        <v>208.5870719867365</v>
      </c>
    </row>
    <row r="69" spans="1:5" x14ac:dyDescent="0.25">
      <c r="A69" s="25" t="s">
        <v>287</v>
      </c>
      <c r="B69" s="5">
        <v>314.73</v>
      </c>
      <c r="C69" s="26">
        <v>149.63999999999999</v>
      </c>
      <c r="D69">
        <f t="shared" si="5"/>
        <v>348.49261469936494</v>
      </c>
    </row>
    <row r="70" spans="1:5" x14ac:dyDescent="0.25">
      <c r="A70" s="25" t="s">
        <v>288</v>
      </c>
      <c r="B70" s="5">
        <v>133.59</v>
      </c>
      <c r="C70" s="26">
        <v>311.33</v>
      </c>
      <c r="D70">
        <f t="shared" si="5"/>
        <v>338.78113436258519</v>
      </c>
    </row>
    <row r="71" spans="1:5" x14ac:dyDescent="0.25">
      <c r="A71" s="25" t="s">
        <v>289</v>
      </c>
      <c r="B71" s="5">
        <v>420.83</v>
      </c>
      <c r="C71" s="26">
        <v>310.12</v>
      </c>
      <c r="D71">
        <f t="shared" si="5"/>
        <v>522.75453446144309</v>
      </c>
    </row>
    <row r="72" spans="1:5" x14ac:dyDescent="0.25">
      <c r="A72" s="25" t="s">
        <v>290</v>
      </c>
      <c r="B72" s="5">
        <v>574.17999999999995</v>
      </c>
      <c r="C72" s="26">
        <v>-107.45</v>
      </c>
      <c r="D72">
        <f t="shared" si="5"/>
        <v>584.14739141761129</v>
      </c>
    </row>
    <row r="73" spans="1:5" ht="15.75" thickBot="1" x14ac:dyDescent="0.3">
      <c r="A73" s="27" t="s">
        <v>291</v>
      </c>
      <c r="B73" s="28">
        <v>521.52</v>
      </c>
      <c r="C73" s="30">
        <v>-470.48</v>
      </c>
      <c r="D73">
        <f t="shared" si="5"/>
        <v>702.37777641380421</v>
      </c>
    </row>
    <row r="74" spans="1:5" x14ac:dyDescent="0.25">
      <c r="A74" s="21" t="s">
        <v>299</v>
      </c>
      <c r="B74" s="22">
        <v>581.08000000000004</v>
      </c>
      <c r="C74" s="24">
        <v>-129.1</v>
      </c>
      <c r="D74">
        <f t="shared" si="5"/>
        <v>595.24849970411515</v>
      </c>
      <c r="E74">
        <f>AVERAGE(D74:D83)</f>
        <v>823.36682477685611</v>
      </c>
    </row>
    <row r="75" spans="1:5" x14ac:dyDescent="0.25">
      <c r="A75" s="25" t="s">
        <v>300</v>
      </c>
      <c r="B75" s="5">
        <v>442.98</v>
      </c>
      <c r="C75" s="26">
        <v>604.36</v>
      </c>
      <c r="D75">
        <f t="shared" si="5"/>
        <v>749.32121950469286</v>
      </c>
    </row>
    <row r="76" spans="1:5" x14ac:dyDescent="0.25">
      <c r="A76" s="25" t="s">
        <v>301</v>
      </c>
      <c r="B76" s="5">
        <v>502.1</v>
      </c>
      <c r="C76" s="26">
        <v>947.05</v>
      </c>
      <c r="D76">
        <f t="shared" si="5"/>
        <v>1071.9179597805048</v>
      </c>
    </row>
    <row r="77" spans="1:5" x14ac:dyDescent="0.25">
      <c r="A77" s="25" t="s">
        <v>302</v>
      </c>
      <c r="B77" s="5">
        <v>663.79</v>
      </c>
      <c r="C77" s="26">
        <v>891.22</v>
      </c>
      <c r="D77">
        <f t="shared" si="5"/>
        <v>1111.256159712962</v>
      </c>
    </row>
    <row r="78" spans="1:5" x14ac:dyDescent="0.25">
      <c r="A78" s="25" t="s">
        <v>303</v>
      </c>
      <c r="B78" s="5">
        <v>644.25</v>
      </c>
      <c r="C78" s="26">
        <v>169.27</v>
      </c>
      <c r="D78">
        <f t="shared" si="5"/>
        <v>666.11590237735652</v>
      </c>
    </row>
    <row r="79" spans="1:5" x14ac:dyDescent="0.25">
      <c r="A79" s="25" t="s">
        <v>304</v>
      </c>
      <c r="B79" s="5">
        <v>808.16</v>
      </c>
      <c r="C79" s="26">
        <v>207.81</v>
      </c>
      <c r="D79">
        <f t="shared" si="5"/>
        <v>834.45046689423089</v>
      </c>
    </row>
    <row r="80" spans="1:5" x14ac:dyDescent="0.25">
      <c r="A80" s="25" t="s">
        <v>305</v>
      </c>
      <c r="B80" s="5">
        <v>371.72</v>
      </c>
      <c r="C80" s="26">
        <v>501.21</v>
      </c>
      <c r="D80">
        <f t="shared" si="5"/>
        <v>624.00899232302731</v>
      </c>
    </row>
    <row r="81" spans="1:4" x14ac:dyDescent="0.25">
      <c r="A81" s="25" t="s">
        <v>306</v>
      </c>
      <c r="B81" s="5">
        <v>475.85</v>
      </c>
      <c r="C81" s="26">
        <v>1000.3</v>
      </c>
      <c r="D81">
        <f t="shared" si="5"/>
        <v>1107.7153571653685</v>
      </c>
    </row>
    <row r="82" spans="1:4" x14ac:dyDescent="0.25">
      <c r="A82" s="25" t="s">
        <v>307</v>
      </c>
      <c r="B82" s="5">
        <v>218.13</v>
      </c>
      <c r="C82" s="26">
        <v>1098.19</v>
      </c>
      <c r="D82">
        <f t="shared" si="5"/>
        <v>1119.6436812665002</v>
      </c>
    </row>
    <row r="83" spans="1:4" ht="15.75" thickBot="1" x14ac:dyDescent="0.3">
      <c r="A83" s="27" t="s">
        <v>308</v>
      </c>
      <c r="B83" s="28">
        <v>122.17</v>
      </c>
      <c r="C83" s="30">
        <v>332.24</v>
      </c>
      <c r="D83">
        <f t="shared" si="5"/>
        <v>353.99000903980328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5"/>
  <sheetViews>
    <sheetView topLeftCell="N79" zoomScale="85" zoomScaleNormal="85" workbookViewId="0">
      <selection activeCell="X27" sqref="X27"/>
    </sheetView>
  </sheetViews>
  <sheetFormatPr baseColWidth="10" defaultRowHeight="15" x14ac:dyDescent="0.25"/>
  <cols>
    <col min="1" max="1" width="18" customWidth="1"/>
    <col min="3" max="3" width="25.140625" customWidth="1"/>
    <col min="15" max="15" width="15" customWidth="1"/>
    <col min="16" max="16" width="36.85546875" customWidth="1"/>
    <col min="17" max="17" width="27.140625" customWidth="1"/>
    <col min="18" max="18" width="24.42578125" customWidth="1"/>
    <col min="19" max="19" width="13.28515625" customWidth="1"/>
  </cols>
  <sheetData>
    <row r="1" spans="1:9" x14ac:dyDescent="0.25">
      <c r="A1" t="s">
        <v>71</v>
      </c>
    </row>
    <row r="2" spans="1:9" x14ac:dyDescent="0.25">
      <c r="A2" t="s">
        <v>87</v>
      </c>
      <c r="B2" s="40" t="s">
        <v>88</v>
      </c>
      <c r="C2" s="40" t="s">
        <v>89</v>
      </c>
      <c r="D2" s="40" t="s">
        <v>90</v>
      </c>
      <c r="F2" s="56" t="s">
        <v>91</v>
      </c>
      <c r="G2" s="40" t="s">
        <v>92</v>
      </c>
      <c r="H2" s="40" t="s">
        <v>93</v>
      </c>
    </row>
    <row r="3" spans="1:9" x14ac:dyDescent="0.25">
      <c r="A3" s="5" t="s">
        <v>72</v>
      </c>
      <c r="B3" s="5">
        <v>522.02</v>
      </c>
      <c r="C3" s="5">
        <v>391.96</v>
      </c>
      <c r="D3" s="5">
        <v>855.89</v>
      </c>
    </row>
    <row r="4" spans="1:9" x14ac:dyDescent="0.25">
      <c r="A4" s="5" t="s">
        <v>73</v>
      </c>
      <c r="B4" s="5">
        <v>21.31</v>
      </c>
      <c r="C4" s="5">
        <v>-107.47</v>
      </c>
      <c r="D4" s="5">
        <v>855.26</v>
      </c>
    </row>
    <row r="5" spans="1:9" x14ac:dyDescent="0.25">
      <c r="A5" s="5" t="s">
        <v>74</v>
      </c>
      <c r="B5" s="5">
        <v>22.6</v>
      </c>
      <c r="C5" s="5">
        <v>892.61</v>
      </c>
      <c r="D5" s="5">
        <v>855.61</v>
      </c>
    </row>
    <row r="6" spans="1:9" x14ac:dyDescent="0.25">
      <c r="A6" s="5" t="s">
        <v>75</v>
      </c>
      <c r="B6" s="5">
        <v>1022.76</v>
      </c>
      <c r="C6" s="5">
        <v>891.41</v>
      </c>
      <c r="D6" s="5">
        <v>856.51</v>
      </c>
    </row>
    <row r="7" spans="1:9" x14ac:dyDescent="0.25">
      <c r="A7" s="9" t="s">
        <v>76</v>
      </c>
      <c r="B7" s="9">
        <v>1021.48</v>
      </c>
      <c r="C7" s="9">
        <v>-108.77</v>
      </c>
      <c r="D7" s="9">
        <v>856.02</v>
      </c>
      <c r="F7" s="9"/>
      <c r="G7" s="9"/>
      <c r="H7" s="9"/>
      <c r="I7" s="5"/>
    </row>
    <row r="8" spans="1:9" x14ac:dyDescent="0.25">
      <c r="A8" s="2" t="s">
        <v>77</v>
      </c>
      <c r="B8" s="2">
        <v>522.17999999999995</v>
      </c>
      <c r="C8" s="2">
        <v>391.97</v>
      </c>
      <c r="D8" s="2">
        <v>855.17</v>
      </c>
      <c r="F8">
        <f>B3-B8</f>
        <v>-0.15999999999996817</v>
      </c>
      <c r="G8">
        <f t="shared" ref="G8:H8" si="0">C3-C8</f>
        <v>-1.0000000000047748E-2</v>
      </c>
      <c r="H8">
        <f t="shared" si="0"/>
        <v>0.72000000000002728</v>
      </c>
    </row>
    <row r="9" spans="1:9" x14ac:dyDescent="0.25">
      <c r="A9" s="5" t="s">
        <v>78</v>
      </c>
      <c r="B9" s="5">
        <v>21.44</v>
      </c>
      <c r="C9" s="5">
        <v>-107.46</v>
      </c>
      <c r="D9" s="5">
        <v>853.92</v>
      </c>
      <c r="F9">
        <f t="shared" ref="F9:F12" si="1">B4-B9</f>
        <v>-0.13000000000000256</v>
      </c>
      <c r="G9">
        <f t="shared" ref="G9:G12" si="2">C4-C9</f>
        <v>-1.0000000000005116E-2</v>
      </c>
      <c r="H9">
        <f t="shared" ref="H9:H12" si="3">D4-D9</f>
        <v>1.3400000000000318</v>
      </c>
    </row>
    <row r="10" spans="1:9" x14ac:dyDescent="0.25">
      <c r="A10" s="5" t="s">
        <v>79</v>
      </c>
      <c r="B10" s="5">
        <v>22.75</v>
      </c>
      <c r="C10" s="5">
        <v>892.73</v>
      </c>
      <c r="D10" s="5">
        <v>854.4</v>
      </c>
      <c r="F10">
        <f t="shared" si="1"/>
        <v>-0.14999999999999858</v>
      </c>
      <c r="G10">
        <f t="shared" si="2"/>
        <v>-0.12000000000000455</v>
      </c>
      <c r="H10">
        <f t="shared" si="3"/>
        <v>1.2100000000000364</v>
      </c>
    </row>
    <row r="11" spans="1:9" x14ac:dyDescent="0.25">
      <c r="A11" s="5" t="s">
        <v>80</v>
      </c>
      <c r="B11" s="5">
        <v>1022.88</v>
      </c>
      <c r="C11" s="5">
        <v>891.36</v>
      </c>
      <c r="D11" s="5">
        <v>856.1</v>
      </c>
      <c r="F11">
        <f t="shared" si="1"/>
        <v>-0.12000000000000455</v>
      </c>
      <c r="G11">
        <f t="shared" si="2"/>
        <v>4.9999999999954525E-2</v>
      </c>
      <c r="H11">
        <f t="shared" si="3"/>
        <v>0.40999999999996817</v>
      </c>
    </row>
    <row r="12" spans="1:9" x14ac:dyDescent="0.25">
      <c r="A12" s="9" t="s">
        <v>81</v>
      </c>
      <c r="B12" s="9">
        <v>1021.58</v>
      </c>
      <c r="C12" s="9">
        <v>-108.74</v>
      </c>
      <c r="D12" s="9">
        <v>855.56</v>
      </c>
      <c r="F12" s="9">
        <f t="shared" si="1"/>
        <v>-0.10000000000002274</v>
      </c>
      <c r="G12" s="9">
        <f t="shared" si="2"/>
        <v>-3.0000000000001137E-2</v>
      </c>
      <c r="H12" s="9">
        <f t="shared" si="3"/>
        <v>0.46000000000003638</v>
      </c>
    </row>
    <row r="13" spans="1:9" x14ac:dyDescent="0.25">
      <c r="A13" s="2" t="s">
        <v>82</v>
      </c>
      <c r="B13" s="2">
        <v>521.86</v>
      </c>
      <c r="C13" s="2">
        <v>391.98</v>
      </c>
      <c r="D13" s="2">
        <v>856.04</v>
      </c>
      <c r="F13">
        <f>B3-B13</f>
        <v>0.15999999999996817</v>
      </c>
      <c r="G13">
        <f t="shared" ref="G13:H13" si="4">C3-C13</f>
        <v>-2.0000000000038654E-2</v>
      </c>
      <c r="H13">
        <f t="shared" si="4"/>
        <v>-0.14999999999997726</v>
      </c>
    </row>
    <row r="14" spans="1:9" x14ac:dyDescent="0.25">
      <c r="A14" s="5" t="s">
        <v>83</v>
      </c>
      <c r="B14" s="5">
        <v>21.16</v>
      </c>
      <c r="C14" s="5">
        <v>-107.49</v>
      </c>
      <c r="D14" s="5">
        <v>855.65</v>
      </c>
      <c r="F14">
        <f t="shared" ref="F14:F16" si="5">B4-B14</f>
        <v>0.14999999999999858</v>
      </c>
      <c r="G14">
        <f t="shared" ref="G14:G17" si="6">C4-C14</f>
        <v>1.9999999999996021E-2</v>
      </c>
      <c r="H14">
        <f t="shared" ref="H14:H17" si="7">D4-D14</f>
        <v>-0.38999999999998636</v>
      </c>
    </row>
    <row r="15" spans="1:9" x14ac:dyDescent="0.25">
      <c r="A15" s="5" t="s">
        <v>84</v>
      </c>
      <c r="B15" s="5">
        <v>22.51</v>
      </c>
      <c r="C15" s="5">
        <v>892.81</v>
      </c>
      <c r="D15" s="5">
        <v>856.02</v>
      </c>
      <c r="F15">
        <f t="shared" si="5"/>
        <v>8.9999999999999858E-2</v>
      </c>
      <c r="G15">
        <f t="shared" si="6"/>
        <v>-0.19999999999993179</v>
      </c>
      <c r="H15">
        <f t="shared" si="7"/>
        <v>-0.40999999999996817</v>
      </c>
    </row>
    <row r="16" spans="1:9" x14ac:dyDescent="0.25">
      <c r="A16" s="5" t="s">
        <v>85</v>
      </c>
      <c r="B16" s="5">
        <v>1022.66</v>
      </c>
      <c r="C16" s="5">
        <v>891.42</v>
      </c>
      <c r="D16" s="5">
        <v>856.55</v>
      </c>
      <c r="F16">
        <f t="shared" si="5"/>
        <v>0.10000000000002274</v>
      </c>
      <c r="G16">
        <f t="shared" si="6"/>
        <v>-9.9999999999909051E-3</v>
      </c>
      <c r="H16">
        <f t="shared" si="7"/>
        <v>-3.999999999996362E-2</v>
      </c>
    </row>
    <row r="17" spans="1:13" x14ac:dyDescent="0.25">
      <c r="A17" s="9" t="s">
        <v>86</v>
      </c>
      <c r="B17" s="9">
        <v>1021.36</v>
      </c>
      <c r="C17" s="9">
        <v>-108.82</v>
      </c>
      <c r="D17" s="9">
        <v>856.18</v>
      </c>
      <c r="F17" s="9">
        <f>B7-B17</f>
        <v>0.12000000000000455</v>
      </c>
      <c r="G17" s="9">
        <f t="shared" si="6"/>
        <v>4.9999999999997158E-2</v>
      </c>
      <c r="H17" s="9">
        <f t="shared" si="7"/>
        <v>-0.15999999999996817</v>
      </c>
    </row>
    <row r="21" spans="1:13" x14ac:dyDescent="0.25">
      <c r="A21" s="93" t="s">
        <v>112</v>
      </c>
    </row>
    <row r="22" spans="1:13" x14ac:dyDescent="0.25">
      <c r="C22" s="40" t="s">
        <v>63</v>
      </c>
      <c r="D22" s="42" t="s">
        <v>11</v>
      </c>
      <c r="F22" s="205" t="s">
        <v>411</v>
      </c>
      <c r="K22" s="42" t="s">
        <v>12</v>
      </c>
    </row>
    <row r="23" spans="1:13" x14ac:dyDescent="0.25">
      <c r="A23" s="1">
        <v>43291</v>
      </c>
      <c r="B23" s="2"/>
      <c r="C23" s="2" t="s">
        <v>314</v>
      </c>
      <c r="D23" s="164">
        <v>989.92</v>
      </c>
      <c r="E23" s="159">
        <v>1698.2</v>
      </c>
      <c r="F23" s="159">
        <v>40.94</v>
      </c>
      <c r="G23" s="159">
        <v>-134.886</v>
      </c>
      <c r="H23" s="159">
        <v>0.16500000000000001</v>
      </c>
      <c r="I23" s="159">
        <v>0.08</v>
      </c>
      <c r="J23" s="160">
        <v>0.11</v>
      </c>
      <c r="K23" s="159">
        <v>246.07</v>
      </c>
      <c r="L23" s="159">
        <v>0.24</v>
      </c>
      <c r="M23" s="160">
        <v>92.43</v>
      </c>
    </row>
    <row r="24" spans="1:13" x14ac:dyDescent="0.25">
      <c r="A24" s="4"/>
      <c r="B24" s="5"/>
      <c r="C24" s="5" t="s">
        <v>35</v>
      </c>
      <c r="D24" s="59">
        <v>0.49800000000004729</v>
      </c>
      <c r="E24" s="60">
        <v>-0.55200000000013461</v>
      </c>
      <c r="F24" s="60">
        <v>-0.50300000000000011</v>
      </c>
      <c r="G24" s="60">
        <v>-7.3000000000007503E-2</v>
      </c>
      <c r="H24" s="60">
        <v>-4.200000000000001E-2</v>
      </c>
      <c r="I24" s="60">
        <v>2.7999999999999997E-2</v>
      </c>
      <c r="J24" s="161"/>
      <c r="K24" s="60">
        <v>-0.69999999999998863</v>
      </c>
      <c r="L24" s="60">
        <v>4.0000000000000036E-2</v>
      </c>
      <c r="M24" s="161">
        <v>-3.4000000000006025E-2</v>
      </c>
    </row>
    <row r="25" spans="1:13" x14ac:dyDescent="0.25">
      <c r="A25" s="8"/>
      <c r="B25" s="9"/>
      <c r="C25" s="9"/>
      <c r="D25" s="166">
        <v>0.89761740179220895</v>
      </c>
      <c r="E25" s="162"/>
      <c r="F25" s="185">
        <f>ABS(F24/D25)*100</f>
        <v>56.037238025432188</v>
      </c>
      <c r="G25" s="162">
        <v>-1.2740903539559916</v>
      </c>
      <c r="H25" s="162">
        <v>-0.73303828583761865</v>
      </c>
      <c r="I25" s="162">
        <v>0.48869219055841223</v>
      </c>
      <c r="J25" s="167">
        <v>1.5490227292264751</v>
      </c>
      <c r="K25" s="168">
        <v>0.70196581113326628</v>
      </c>
      <c r="L25" s="162"/>
      <c r="M25" s="163"/>
    </row>
    <row r="26" spans="1:13" x14ac:dyDescent="0.25">
      <c r="A26" s="1">
        <v>43291</v>
      </c>
      <c r="B26" s="2"/>
      <c r="C26" s="2" t="s">
        <v>314</v>
      </c>
      <c r="D26" s="164">
        <v>989.9</v>
      </c>
      <c r="E26" s="159">
        <v>1698.22</v>
      </c>
      <c r="F26" s="159">
        <v>40.96</v>
      </c>
      <c r="G26" s="159">
        <v>-134.88499999999999</v>
      </c>
      <c r="H26" s="159">
        <v>0.16600000000000001</v>
      </c>
      <c r="I26" s="159">
        <v>0.08</v>
      </c>
      <c r="J26" s="160">
        <v>0.11</v>
      </c>
      <c r="K26" s="159">
        <v>246.07</v>
      </c>
      <c r="L26" s="159">
        <v>0.25</v>
      </c>
      <c r="M26" s="160">
        <v>92.41</v>
      </c>
    </row>
    <row r="27" spans="1:13" x14ac:dyDescent="0.25">
      <c r="A27" s="4"/>
      <c r="B27" s="5"/>
      <c r="C27" s="5" t="s">
        <v>36</v>
      </c>
      <c r="D27" s="59">
        <v>0.5180000000000291</v>
      </c>
      <c r="E27" s="60">
        <v>-0.57200000000011642</v>
      </c>
      <c r="F27" s="60">
        <v>-0.52300000000000324</v>
      </c>
      <c r="G27" s="60">
        <v>-7.4000000000012278E-2</v>
      </c>
      <c r="H27" s="60">
        <v>-4.300000000000001E-2</v>
      </c>
      <c r="I27" s="60">
        <v>2.7999999999999997E-2</v>
      </c>
      <c r="J27" s="161"/>
      <c r="K27" s="60">
        <v>-0.69999999999998863</v>
      </c>
      <c r="L27" s="60">
        <v>3.0000000000000027E-2</v>
      </c>
      <c r="M27" s="161">
        <v>-1.3999999999995794E-2</v>
      </c>
    </row>
    <row r="28" spans="1:13" x14ac:dyDescent="0.25">
      <c r="A28" s="8"/>
      <c r="B28" s="9"/>
      <c r="C28" s="9"/>
      <c r="D28" s="166">
        <v>0.93222154019319181</v>
      </c>
      <c r="E28" s="162"/>
      <c r="F28" s="185">
        <f>ABS(F27/D28)*100</f>
        <v>56.102544025277268</v>
      </c>
      <c r="G28" s="162">
        <v>-1.2915436464760182</v>
      </c>
      <c r="H28" s="162">
        <v>-0.75049157835756186</v>
      </c>
      <c r="I28" s="162">
        <v>0.48869219055841223</v>
      </c>
      <c r="J28" s="167">
        <v>1.5716687491488062</v>
      </c>
      <c r="K28" s="168">
        <v>0.70078241987080692</v>
      </c>
      <c r="L28" s="162"/>
      <c r="M28" s="163"/>
    </row>
    <row r="29" spans="1:13" x14ac:dyDescent="0.25">
      <c r="A29" s="1">
        <v>43291</v>
      </c>
      <c r="B29" s="2"/>
      <c r="C29" s="2" t="s">
        <v>313</v>
      </c>
      <c r="D29" s="164">
        <v>989.95</v>
      </c>
      <c r="E29" s="159">
        <v>1698.24</v>
      </c>
      <c r="F29" s="159">
        <v>41.12</v>
      </c>
      <c r="G29" s="159">
        <v>-134.886</v>
      </c>
      <c r="H29" s="159">
        <v>0.16900000000000001</v>
      </c>
      <c r="I29" s="159">
        <v>0.08</v>
      </c>
      <c r="J29" s="160">
        <v>0.1</v>
      </c>
      <c r="K29" s="159">
        <v>246.02</v>
      </c>
      <c r="L29" s="159">
        <v>0.24</v>
      </c>
      <c r="M29" s="160">
        <v>92.39</v>
      </c>
    </row>
    <row r="30" spans="1:13" x14ac:dyDescent="0.25">
      <c r="A30" s="4"/>
      <c r="B30" s="5"/>
      <c r="C30" s="5" t="s">
        <v>35</v>
      </c>
      <c r="D30" s="59">
        <v>0.46799999999996089</v>
      </c>
      <c r="E30" s="60">
        <v>-0.59200000000009823</v>
      </c>
      <c r="F30" s="60">
        <v>-0.68299999999999983</v>
      </c>
      <c r="G30" s="60">
        <v>-7.3000000000007503E-2</v>
      </c>
      <c r="H30" s="60">
        <v>-4.6000000000000013E-2</v>
      </c>
      <c r="I30" s="60">
        <v>2.7999999999999997E-2</v>
      </c>
      <c r="J30" s="161"/>
      <c r="K30" s="60">
        <v>-0.65000000000000568</v>
      </c>
      <c r="L30" s="60">
        <v>4.0000000000000036E-2</v>
      </c>
      <c r="M30" s="161">
        <v>6.0000000000002274E-3</v>
      </c>
    </row>
    <row r="31" spans="1:13" x14ac:dyDescent="0.25">
      <c r="A31" s="8"/>
      <c r="B31" s="9"/>
      <c r="C31" s="9"/>
      <c r="D31" s="166">
        <v>1.0178295535108417</v>
      </c>
      <c r="E31" s="162"/>
      <c r="F31" s="185">
        <f>ABS(F30/D31)*100</f>
        <v>67.103573249970935</v>
      </c>
      <c r="G31" s="162">
        <v>-1.2740903539559916</v>
      </c>
      <c r="H31" s="162">
        <v>-0.80285145591739182</v>
      </c>
      <c r="I31" s="162">
        <v>0.48869219055841223</v>
      </c>
      <c r="J31" s="167">
        <v>1.5832551112897628</v>
      </c>
      <c r="K31" s="168">
        <v>0.65125724564108101</v>
      </c>
      <c r="L31" s="162"/>
      <c r="M31" s="163"/>
    </row>
    <row r="32" spans="1:13" x14ac:dyDescent="0.25">
      <c r="A32" s="1">
        <v>43291</v>
      </c>
      <c r="B32" s="2"/>
      <c r="C32" s="2" t="s">
        <v>313</v>
      </c>
      <c r="D32" s="164">
        <v>989.95</v>
      </c>
      <c r="E32" s="159">
        <v>1698.24</v>
      </c>
      <c r="F32" s="159">
        <v>41.13</v>
      </c>
      <c r="G32" s="159">
        <v>-134.886</v>
      </c>
      <c r="H32" s="159">
        <v>0.16900000000000001</v>
      </c>
      <c r="I32" s="159">
        <v>0.08</v>
      </c>
      <c r="J32" s="160">
        <v>0.1</v>
      </c>
      <c r="K32" s="159">
        <v>246.02</v>
      </c>
      <c r="L32" s="159">
        <v>0.22</v>
      </c>
      <c r="M32" s="160">
        <v>92.39</v>
      </c>
    </row>
    <row r="33" spans="1:36" x14ac:dyDescent="0.25">
      <c r="A33" s="4"/>
      <c r="B33" s="5"/>
      <c r="C33" s="5" t="s">
        <v>36</v>
      </c>
      <c r="D33" s="59">
        <v>0.46799999999996089</v>
      </c>
      <c r="E33" s="60">
        <v>-0.59200000000009823</v>
      </c>
      <c r="F33" s="60">
        <v>-0.69300000000000495</v>
      </c>
      <c r="G33" s="60">
        <v>-7.3000000000007503E-2</v>
      </c>
      <c r="H33" s="60">
        <v>-4.6000000000000013E-2</v>
      </c>
      <c r="I33" s="60">
        <v>2.7999999999999997E-2</v>
      </c>
      <c r="J33" s="161"/>
      <c r="K33" s="60">
        <v>-0.65000000000000568</v>
      </c>
      <c r="L33" s="60">
        <v>6.0000000000000026E-2</v>
      </c>
      <c r="M33" s="161">
        <v>6.0000000000002274E-3</v>
      </c>
    </row>
    <row r="34" spans="1:36" x14ac:dyDescent="0.25">
      <c r="A34" s="8"/>
      <c r="B34" s="9"/>
      <c r="C34" s="9"/>
      <c r="D34" s="166">
        <v>1.0245667376994465</v>
      </c>
      <c r="E34" s="162"/>
      <c r="F34" s="185">
        <f>ABS(F33/D34)*100</f>
        <v>67.63834648351569</v>
      </c>
      <c r="G34" s="162">
        <v>-1.2740903539559916</v>
      </c>
      <c r="H34" s="162">
        <v>-0.80285145591739182</v>
      </c>
      <c r="I34" s="162">
        <v>0.48869219055841223</v>
      </c>
      <c r="J34" s="167">
        <v>1.5832551112897628</v>
      </c>
      <c r="K34" s="168">
        <v>0.65279093130956356</v>
      </c>
      <c r="L34" s="162"/>
      <c r="M34" s="163"/>
    </row>
    <row r="35" spans="1:36" x14ac:dyDescent="0.25">
      <c r="A35" s="1">
        <v>43291</v>
      </c>
      <c r="B35" s="2"/>
      <c r="C35" s="2" t="s">
        <v>312</v>
      </c>
      <c r="D35" s="164">
        <v>989.98</v>
      </c>
      <c r="E35" s="159">
        <v>1698.27</v>
      </c>
      <c r="F35" s="159">
        <v>41.29</v>
      </c>
      <c r="G35" s="159">
        <v>-134.886</v>
      </c>
      <c r="H35" s="159">
        <v>0.17299999999999999</v>
      </c>
      <c r="I35" s="159">
        <v>7.9000000000000001E-2</v>
      </c>
      <c r="J35" s="160">
        <v>0.11</v>
      </c>
      <c r="K35" s="159">
        <v>246</v>
      </c>
      <c r="L35" s="159">
        <v>0.2</v>
      </c>
      <c r="M35" s="160">
        <v>92.36</v>
      </c>
    </row>
    <row r="36" spans="1:36" x14ac:dyDescent="0.25">
      <c r="A36" s="4"/>
      <c r="B36" s="5"/>
      <c r="C36" s="5" t="s">
        <v>35</v>
      </c>
      <c r="D36" s="59">
        <v>0.43799999999998818</v>
      </c>
      <c r="E36" s="60">
        <v>-0.62200000000007094</v>
      </c>
      <c r="F36" s="60">
        <v>-0.85300000000000153</v>
      </c>
      <c r="G36" s="60">
        <v>-7.3000000000007503E-2</v>
      </c>
      <c r="H36" s="60">
        <v>-4.9999999999999989E-2</v>
      </c>
      <c r="I36" s="60">
        <v>2.8999999999999998E-2</v>
      </c>
      <c r="J36" s="161"/>
      <c r="K36" s="60">
        <v>-0.62999999999999545</v>
      </c>
      <c r="L36" s="60">
        <v>8.0000000000000016E-2</v>
      </c>
      <c r="M36" s="161">
        <v>3.6000000000001364E-2</v>
      </c>
    </row>
    <row r="37" spans="1:36" x14ac:dyDescent="0.25">
      <c r="A37" s="8"/>
      <c r="B37" s="9"/>
      <c r="C37" s="9"/>
      <c r="D37" s="166">
        <v>1.1429510050741809</v>
      </c>
      <c r="E37" s="162"/>
      <c r="F37" s="185">
        <f>ABS(F36/D37)*100</f>
        <v>74.63137056733585</v>
      </c>
      <c r="G37" s="162">
        <v>-1.2740903539559916</v>
      </c>
      <c r="H37" s="162">
        <v>-0.87266462599716454</v>
      </c>
      <c r="I37" s="162">
        <v>0.50614548307835561</v>
      </c>
      <c r="J37" s="167">
        <v>1.6251255427046543</v>
      </c>
      <c r="K37" s="168">
        <v>0.63607861149388945</v>
      </c>
      <c r="L37" s="162"/>
      <c r="M37" s="163"/>
    </row>
    <row r="38" spans="1:36" x14ac:dyDescent="0.25">
      <c r="A38" s="1">
        <v>43291</v>
      </c>
      <c r="B38" s="2"/>
      <c r="C38" s="2" t="s">
        <v>312</v>
      </c>
      <c r="D38" s="164">
        <v>989.98</v>
      </c>
      <c r="E38" s="159">
        <v>1698.27</v>
      </c>
      <c r="F38" s="159">
        <v>41.3</v>
      </c>
      <c r="G38" s="159">
        <v>-134.88499999999999</v>
      </c>
      <c r="H38" s="159">
        <v>0.17399999999999999</v>
      </c>
      <c r="I38" s="159">
        <v>7.9000000000000001E-2</v>
      </c>
      <c r="J38" s="160">
        <v>0.11</v>
      </c>
      <c r="K38" s="159">
        <v>245.99</v>
      </c>
      <c r="L38" s="159">
        <v>0.2</v>
      </c>
      <c r="M38" s="160">
        <v>92.36</v>
      </c>
    </row>
    <row r="39" spans="1:36" x14ac:dyDescent="0.25">
      <c r="A39" s="4"/>
      <c r="B39" s="5"/>
      <c r="C39" s="5" t="s">
        <v>36</v>
      </c>
      <c r="D39" s="59">
        <v>0.43799999999998818</v>
      </c>
      <c r="E39" s="60">
        <v>-0.62200000000007094</v>
      </c>
      <c r="F39" s="60">
        <v>-0.86299999999999955</v>
      </c>
      <c r="G39" s="60">
        <v>-7.4000000000012278E-2</v>
      </c>
      <c r="H39" s="60">
        <v>-5.099999999999999E-2</v>
      </c>
      <c r="I39" s="60">
        <v>2.8999999999999998E-2</v>
      </c>
      <c r="J39" s="161"/>
      <c r="K39" s="60">
        <v>-0.62000000000000455</v>
      </c>
      <c r="L39" s="60">
        <v>8.0000000000000016E-2</v>
      </c>
      <c r="M39" s="161">
        <v>3.6000000000001364E-2</v>
      </c>
    </row>
    <row r="40" spans="1:36" x14ac:dyDescent="0.25">
      <c r="A40" s="8"/>
      <c r="B40" s="9"/>
      <c r="C40" s="9"/>
      <c r="D40" s="166">
        <v>1.1504333965945517</v>
      </c>
      <c r="E40" s="162"/>
      <c r="F40" s="185">
        <f>ABS(F39/D40)*100</f>
        <v>75.015207534360854</v>
      </c>
      <c r="G40" s="162">
        <v>-1.2915436464760182</v>
      </c>
      <c r="H40" s="162">
        <v>-0.89011791851710786</v>
      </c>
      <c r="I40" s="162">
        <v>0.50614548307835561</v>
      </c>
      <c r="J40" s="167">
        <v>1.6482045230062987</v>
      </c>
      <c r="K40" s="168">
        <v>0.62617569419453334</v>
      </c>
      <c r="L40" s="162"/>
      <c r="M40" s="163"/>
    </row>
    <row r="41" spans="1:36" x14ac:dyDescent="0.25">
      <c r="A41" s="1">
        <v>43291</v>
      </c>
      <c r="B41" s="2"/>
      <c r="C41" s="2" t="s">
        <v>315</v>
      </c>
      <c r="D41" s="164">
        <v>990</v>
      </c>
      <c r="E41" s="159">
        <v>1698.3</v>
      </c>
      <c r="F41" s="159">
        <v>41.46</v>
      </c>
      <c r="G41" s="159">
        <v>-134.886</v>
      </c>
      <c r="H41" s="159">
        <v>0.17499999999999999</v>
      </c>
      <c r="I41" s="159">
        <v>7.9000000000000001E-2</v>
      </c>
      <c r="J41" s="160">
        <v>0.11</v>
      </c>
      <c r="K41" s="159">
        <v>245.92</v>
      </c>
      <c r="L41" s="159">
        <v>0.19</v>
      </c>
      <c r="M41" s="160">
        <v>92.32</v>
      </c>
    </row>
    <row r="42" spans="1:36" x14ac:dyDescent="0.25">
      <c r="A42" s="4"/>
      <c r="B42" s="5"/>
      <c r="C42" s="5" t="s">
        <v>35</v>
      </c>
      <c r="D42" s="59">
        <v>0.41800000000000637</v>
      </c>
      <c r="E42" s="60">
        <v>-0.65200000000004366</v>
      </c>
      <c r="F42" s="60">
        <v>-1.0230000000000032</v>
      </c>
      <c r="G42" s="60">
        <v>-7.3000000000007503E-2</v>
      </c>
      <c r="H42" s="60">
        <v>-5.1999999999999991E-2</v>
      </c>
      <c r="I42" s="60">
        <v>2.8999999999999998E-2</v>
      </c>
      <c r="J42" s="161"/>
      <c r="K42" s="60">
        <v>-0.54999999999998295</v>
      </c>
      <c r="L42" s="60">
        <v>9.0000000000000024E-2</v>
      </c>
      <c r="M42" s="161">
        <v>7.6000000000007617E-2</v>
      </c>
    </row>
    <row r="43" spans="1:36" x14ac:dyDescent="0.25">
      <c r="A43" s="8"/>
      <c r="B43" s="9"/>
      <c r="C43" s="9"/>
      <c r="D43" s="166">
        <v>1.2831044384616823</v>
      </c>
      <c r="E43" s="162"/>
      <c r="F43" s="185">
        <f>ABS(F42/D43)*100</f>
        <v>79.728506061944643</v>
      </c>
      <c r="G43" s="162">
        <v>-1.2740903539559916</v>
      </c>
      <c r="H43" s="162">
        <v>-0.90757121103705118</v>
      </c>
      <c r="I43" s="162">
        <v>0.50614548307835561</v>
      </c>
      <c r="J43" s="167">
        <v>1.6441335052809991</v>
      </c>
      <c r="K43" s="168">
        <v>0.56247311046838711</v>
      </c>
      <c r="L43" s="162"/>
      <c r="M43" s="163"/>
    </row>
    <row r="44" spans="1:36" x14ac:dyDescent="0.25">
      <c r="A44" s="1">
        <v>43291</v>
      </c>
      <c r="B44" s="2"/>
      <c r="C44" s="2" t="s">
        <v>315</v>
      </c>
      <c r="D44" s="164">
        <v>990.01</v>
      </c>
      <c r="E44" s="159">
        <v>1698.3</v>
      </c>
      <c r="F44" s="159">
        <v>41.49</v>
      </c>
      <c r="G44" s="159">
        <v>-134.886</v>
      </c>
      <c r="H44" s="159">
        <v>0.17499999999999999</v>
      </c>
      <c r="I44" s="159">
        <v>7.9000000000000001E-2</v>
      </c>
      <c r="J44" s="160">
        <v>0.11</v>
      </c>
      <c r="K44" s="159">
        <v>245.91</v>
      </c>
      <c r="L44" s="159">
        <v>0.17</v>
      </c>
      <c r="M44" s="160">
        <v>92.31</v>
      </c>
    </row>
    <row r="45" spans="1:36" x14ac:dyDescent="0.25">
      <c r="A45" s="4"/>
      <c r="B45" s="5"/>
      <c r="C45" s="5" t="s">
        <v>36</v>
      </c>
      <c r="D45" s="59">
        <v>0.40800000000001546</v>
      </c>
      <c r="E45" s="60">
        <v>-0.65200000000004366</v>
      </c>
      <c r="F45" s="60">
        <v>-1.0530000000000044</v>
      </c>
      <c r="G45" s="60">
        <v>-7.3000000000007503E-2</v>
      </c>
      <c r="H45" s="60">
        <v>-5.1999999999999991E-2</v>
      </c>
      <c r="I45" s="60">
        <v>2.8999999999999998E-2</v>
      </c>
      <c r="J45" s="161"/>
      <c r="K45" s="60">
        <v>-0.53999999999999204</v>
      </c>
      <c r="L45" s="60">
        <v>0.11000000000000001</v>
      </c>
      <c r="M45" s="161">
        <v>8.5999999999998522E-2</v>
      </c>
      <c r="T45" t="s">
        <v>400</v>
      </c>
      <c r="Y45" t="s">
        <v>399</v>
      </c>
    </row>
    <row r="46" spans="1:36" ht="18.75" x14ac:dyDescent="0.3">
      <c r="A46" s="8"/>
      <c r="B46" s="9"/>
      <c r="C46" s="9"/>
      <c r="D46" s="166">
        <v>1.3039850459265547</v>
      </c>
      <c r="E46" s="162"/>
      <c r="F46" s="185">
        <f>ABS(F45/D46)*100</f>
        <v>80.752459799244761</v>
      </c>
      <c r="G46" s="162">
        <v>-1.2740903539559916</v>
      </c>
      <c r="H46" s="162">
        <v>-0.90757121103705118</v>
      </c>
      <c r="I46" s="162">
        <v>0.50614548307835561</v>
      </c>
      <c r="J46" s="167">
        <v>1.6441335052809991</v>
      </c>
      <c r="K46" s="168">
        <v>0.55775980493397981</v>
      </c>
      <c r="L46" s="162"/>
      <c r="M46" s="163"/>
      <c r="O46" s="201" t="s">
        <v>332</v>
      </c>
      <c r="P46" t="s">
        <v>417</v>
      </c>
      <c r="V46" t="s">
        <v>336</v>
      </c>
      <c r="W46" t="s">
        <v>338</v>
      </c>
      <c r="AA46" t="s">
        <v>336</v>
      </c>
      <c r="AB46" t="s">
        <v>338</v>
      </c>
    </row>
    <row r="47" spans="1:36" ht="15.75" thickBot="1" x14ac:dyDescent="0.3">
      <c r="C47" s="58"/>
      <c r="D47" s="57"/>
      <c r="E47" s="57"/>
      <c r="F47" s="57"/>
      <c r="G47" s="57"/>
      <c r="H47" s="57"/>
      <c r="I47" s="57"/>
      <c r="J47" s="57"/>
      <c r="K47" s="57"/>
      <c r="L47" s="57"/>
      <c r="M47" s="57"/>
      <c r="O47" t="s">
        <v>330</v>
      </c>
      <c r="P47" t="s">
        <v>421</v>
      </c>
      <c r="Q47" t="s">
        <v>418</v>
      </c>
      <c r="R47" t="s">
        <v>419</v>
      </c>
      <c r="T47" t="s">
        <v>337</v>
      </c>
      <c r="U47" t="s">
        <v>335</v>
      </c>
      <c r="V47">
        <f>AVERAGE(V48:V50)</f>
        <v>5.9358061705494104E-2</v>
      </c>
      <c r="W47">
        <v>0</v>
      </c>
      <c r="Y47" t="s">
        <v>337</v>
      </c>
      <c r="Z47" t="s">
        <v>335</v>
      </c>
      <c r="AA47">
        <f>AVERAGE(AA48:AA50)</f>
        <v>4.1333150601571854E-2</v>
      </c>
      <c r="AB47">
        <f>P56-AA47*O56</f>
        <v>-1.3814655979249508</v>
      </c>
      <c r="AJ47" t="s">
        <v>334</v>
      </c>
    </row>
    <row r="48" spans="1:36" x14ac:dyDescent="0.25">
      <c r="A48" s="170">
        <v>43292</v>
      </c>
      <c r="B48" s="22"/>
      <c r="C48" s="22" t="s">
        <v>326</v>
      </c>
      <c r="D48" s="171">
        <v>990.18</v>
      </c>
      <c r="E48" s="61">
        <v>1698.49</v>
      </c>
      <c r="F48" s="61">
        <v>41.88</v>
      </c>
      <c r="G48" s="61">
        <v>-134.886</v>
      </c>
      <c r="H48" s="61">
        <v>0.19700000000000001</v>
      </c>
      <c r="I48" s="61">
        <v>7.4999999999999997E-2</v>
      </c>
      <c r="J48" s="172">
        <v>0.13</v>
      </c>
      <c r="K48" s="61">
        <v>246.15</v>
      </c>
      <c r="L48" s="61">
        <v>0.19</v>
      </c>
      <c r="M48" s="173">
        <v>92.11</v>
      </c>
      <c r="O48" s="184">
        <v>35</v>
      </c>
      <c r="P48" s="57">
        <f>D96</f>
        <v>1.1432047060785495</v>
      </c>
      <c r="Q48" s="57">
        <f>J96</f>
        <v>1.5604844291998821</v>
      </c>
      <c r="R48" s="57">
        <f>K96</f>
        <v>0.72456607704197518</v>
      </c>
      <c r="S48" s="57"/>
      <c r="T48">
        <v>0</v>
      </c>
      <c r="U48" s="57">
        <f>$V$47*T48+$W$47</f>
        <v>0</v>
      </c>
      <c r="V48" s="202">
        <f>(P51-P50)/(O51-O50)</f>
        <v>6.6669888286786966E-2</v>
      </c>
      <c r="Y48">
        <v>0</v>
      </c>
      <c r="Z48" s="57">
        <f>$AA$47*Y48+$AB$47</f>
        <v>-1.3814655979249508</v>
      </c>
      <c r="AA48" s="202">
        <f>(P57-P56)/(O57-O56)</f>
        <v>4.5933182811127259E-2</v>
      </c>
    </row>
    <row r="49" spans="1:27" x14ac:dyDescent="0.25">
      <c r="A49" s="25"/>
      <c r="B49" s="5"/>
      <c r="C49" s="5" t="s">
        <v>329</v>
      </c>
      <c r="D49" s="59">
        <v>0.23800000000005639</v>
      </c>
      <c r="E49" s="60">
        <v>-0.84200000000009823</v>
      </c>
      <c r="F49" s="60">
        <v>-1.4430000000000049</v>
      </c>
      <c r="G49" s="60">
        <v>-7.3000000000007503E-2</v>
      </c>
      <c r="H49" s="60">
        <v>-7.400000000000001E-2</v>
      </c>
      <c r="I49" s="60">
        <v>3.3000000000000002E-2</v>
      </c>
      <c r="J49" s="161"/>
      <c r="K49" s="60">
        <v>-0.78000000000000114</v>
      </c>
      <c r="L49" s="60">
        <v>9.0000000000000024E-2</v>
      </c>
      <c r="M49" s="174">
        <v>0.28600000000000136</v>
      </c>
      <c r="O49" s="184">
        <v>42</v>
      </c>
      <c r="P49" s="57">
        <f>AVERAGE(D102,D105)</f>
        <v>1.6175298613797955</v>
      </c>
      <c r="Q49" s="57">
        <f>J102</f>
        <v>1.9034493927980973</v>
      </c>
      <c r="R49" s="57">
        <f>K102</f>
        <v>0.83564107127402643</v>
      </c>
      <c r="S49" s="57"/>
      <c r="T49">
        <v>10</v>
      </c>
      <c r="U49" s="57">
        <f>$V$47*T49+$W$47</f>
        <v>0.59358061705494103</v>
      </c>
      <c r="V49" s="202">
        <f>(P52-P51)/(O52-O51)</f>
        <v>5.2046235124201257E-2</v>
      </c>
      <c r="Y49">
        <v>7</v>
      </c>
      <c r="Z49" s="57">
        <f t="shared" ref="Z49:Z54" si="8">$AA$47*Y49+$AB$47</f>
        <v>-1.0921335437139479</v>
      </c>
      <c r="AA49" s="202">
        <f>(P58-P57)/(O58-O57)</f>
        <v>3.6733118392016449E-2</v>
      </c>
    </row>
    <row r="50" spans="1:27" x14ac:dyDescent="0.25">
      <c r="A50" s="175"/>
      <c r="B50" s="9"/>
      <c r="C50" s="9"/>
      <c r="D50" s="166">
        <v>1.6875594804332694</v>
      </c>
      <c r="E50" s="162"/>
      <c r="F50" s="185">
        <f>ABS(F49/D50)*100</f>
        <v>85.508097150420113</v>
      </c>
      <c r="G50" s="162">
        <v>-1.2740903539559916</v>
      </c>
      <c r="H50" s="162">
        <v>-1.2915436464758039</v>
      </c>
      <c r="I50" s="162">
        <v>0.57595865315812866</v>
      </c>
      <c r="J50" s="167">
        <v>1.9034493927980973</v>
      </c>
      <c r="K50" s="168">
        <v>0.83564107127402643</v>
      </c>
      <c r="L50" s="162"/>
      <c r="M50" s="176"/>
      <c r="O50" s="184">
        <v>47</v>
      </c>
      <c r="P50" s="57">
        <f>AVERAGE(D50,D53)</f>
        <v>1.7407966018195866</v>
      </c>
      <c r="Q50" s="57">
        <f>AVERAGE(J50,J53)</f>
        <v>1.9415741449234911</v>
      </c>
      <c r="R50" s="57">
        <f>AVERAGE(K50,K53)</f>
        <v>0.79132957167228246</v>
      </c>
      <c r="S50" s="57"/>
      <c r="T50">
        <v>25</v>
      </c>
      <c r="U50" s="57">
        <f t="shared" ref="U50:U54" si="9">$V$47*T50+$W$47</f>
        <v>1.4839515426373526</v>
      </c>
      <c r="V50" s="202">
        <f>(P52-P50)/(O52-O50)</f>
        <v>5.9358061705494111E-2</v>
      </c>
      <c r="Y50">
        <v>20</v>
      </c>
      <c r="Z50" s="57">
        <f t="shared" si="8"/>
        <v>-0.55480258589351372</v>
      </c>
      <c r="AA50" s="202">
        <f>(P58-P56)/(O58-O56)</f>
        <v>4.1333150601571854E-2</v>
      </c>
    </row>
    <row r="51" spans="1:27" x14ac:dyDescent="0.25">
      <c r="A51" s="177">
        <v>43292</v>
      </c>
      <c r="B51" s="2"/>
      <c r="C51" s="2" t="s">
        <v>326</v>
      </c>
      <c r="D51" s="164">
        <v>990.31</v>
      </c>
      <c r="E51" s="159">
        <v>1698.59</v>
      </c>
      <c r="F51" s="159">
        <v>41.96</v>
      </c>
      <c r="G51" s="159">
        <v>-134.88399999999999</v>
      </c>
      <c r="H51" s="159">
        <v>0.20300000000000001</v>
      </c>
      <c r="I51" s="159">
        <v>7.9000000000000001E-2</v>
      </c>
      <c r="J51" s="160">
        <v>7.0000000000000007E-2</v>
      </c>
      <c r="K51" s="159">
        <v>246.07</v>
      </c>
      <c r="L51" s="159">
        <v>0.23</v>
      </c>
      <c r="M51" s="178">
        <v>92.14</v>
      </c>
      <c r="O51" s="184">
        <v>52</v>
      </c>
      <c r="P51" s="57">
        <f>AVERAGE(D59,D56)</f>
        <v>2.0741460432535215</v>
      </c>
      <c r="Q51" s="57">
        <f>AVERAGE(J56,J59)</f>
        <v>2.0382468035231374</v>
      </c>
      <c r="R51" s="57">
        <f>AVERAGE(K56,K59)</f>
        <v>0.66283435075788466</v>
      </c>
      <c r="T51">
        <v>50</v>
      </c>
      <c r="U51" s="57">
        <f t="shared" si="9"/>
        <v>2.9679030852747053</v>
      </c>
      <c r="V51" s="202"/>
      <c r="Y51">
        <v>50</v>
      </c>
      <c r="Z51" s="57">
        <f t="shared" si="8"/>
        <v>0.68519193215364194</v>
      </c>
    </row>
    <row r="52" spans="1:27" x14ac:dyDescent="0.25">
      <c r="A52" s="25"/>
      <c r="B52" s="5"/>
      <c r="C52" s="5" t="s">
        <v>329</v>
      </c>
      <c r="D52" s="59">
        <v>0.10800000000006094</v>
      </c>
      <c r="E52" s="60">
        <v>-0.94200000000000728</v>
      </c>
      <c r="F52" s="60">
        <v>-1.5230000000000032</v>
      </c>
      <c r="G52" s="60">
        <v>-7.5000000000017053E-2</v>
      </c>
      <c r="H52" s="60">
        <v>-8.0000000000000016E-2</v>
      </c>
      <c r="I52" s="60">
        <v>2.8999999999999998E-2</v>
      </c>
      <c r="J52" s="161"/>
      <c r="K52" s="60">
        <v>-0.69999999999998863</v>
      </c>
      <c r="L52" s="60">
        <v>5.0000000000000017E-2</v>
      </c>
      <c r="M52" s="174">
        <v>0.25600000000000023</v>
      </c>
      <c r="O52" s="184">
        <v>57</v>
      </c>
      <c r="P52" s="57">
        <f>D62</f>
        <v>2.3343772188745278</v>
      </c>
      <c r="Q52" s="57">
        <f>J62</f>
        <v>2.113002016519232</v>
      </c>
      <c r="R52" s="57">
        <f>K62</f>
        <v>0.61360899602271801</v>
      </c>
      <c r="S52" s="57"/>
      <c r="T52">
        <v>100</v>
      </c>
      <c r="U52" s="57">
        <f t="shared" si="9"/>
        <v>5.9358061705494105</v>
      </c>
      <c r="V52" s="202"/>
      <c r="Y52">
        <v>100</v>
      </c>
      <c r="Z52" s="57">
        <f t="shared" si="8"/>
        <v>2.7518494622322347</v>
      </c>
    </row>
    <row r="53" spans="1:27" x14ac:dyDescent="0.25">
      <c r="A53" s="175"/>
      <c r="B53" s="9"/>
      <c r="C53" s="9"/>
      <c r="D53" s="166">
        <v>1.7940337232059036</v>
      </c>
      <c r="E53" s="162"/>
      <c r="F53" s="185">
        <f>ABS(F52/D53)*100</f>
        <v>84.89249562591452</v>
      </c>
      <c r="G53" s="162">
        <v>-1.3089969389960447</v>
      </c>
      <c r="H53" s="162">
        <v>-1.3962634015954638</v>
      </c>
      <c r="I53" s="162">
        <v>0.50614548307835561</v>
      </c>
      <c r="J53" s="167">
        <v>1.9796988970488851</v>
      </c>
      <c r="K53" s="168">
        <v>0.7470180720705385</v>
      </c>
      <c r="L53" s="162"/>
      <c r="M53" s="176"/>
      <c r="O53" t="s">
        <v>331</v>
      </c>
      <c r="P53" t="s">
        <v>422</v>
      </c>
      <c r="Q53" t="s">
        <v>420</v>
      </c>
      <c r="R53" t="s">
        <v>419</v>
      </c>
      <c r="S53" s="57" t="s">
        <v>412</v>
      </c>
      <c r="T53">
        <v>150</v>
      </c>
      <c r="U53" s="57">
        <f t="shared" si="9"/>
        <v>8.9037092558241149</v>
      </c>
      <c r="Y53">
        <v>150</v>
      </c>
      <c r="Z53" s="57">
        <f t="shared" si="8"/>
        <v>4.8185069923108275</v>
      </c>
    </row>
    <row r="54" spans="1:27" x14ac:dyDescent="0.25">
      <c r="A54" s="177">
        <v>43292</v>
      </c>
      <c r="B54" s="2"/>
      <c r="C54" s="2" t="s">
        <v>327</v>
      </c>
      <c r="D54" s="164">
        <v>990.31</v>
      </c>
      <c r="E54" s="159">
        <v>1698.59</v>
      </c>
      <c r="F54" s="159">
        <v>42.17</v>
      </c>
      <c r="G54" s="159">
        <v>-134.88399999999999</v>
      </c>
      <c r="H54" s="159">
        <v>0.20499999999999999</v>
      </c>
      <c r="I54" s="159">
        <v>7.9000000000000001E-2</v>
      </c>
      <c r="J54" s="160">
        <v>0.09</v>
      </c>
      <c r="K54" s="159">
        <v>245.98</v>
      </c>
      <c r="L54" s="159">
        <v>0.22</v>
      </c>
      <c r="M54" s="178">
        <v>92.07</v>
      </c>
      <c r="O54" s="184">
        <v>35</v>
      </c>
      <c r="P54" s="203">
        <v>0.8</v>
      </c>
      <c r="Q54" s="203">
        <v>1.6</v>
      </c>
      <c r="S54" s="57">
        <f>$P$59-P54</f>
        <v>1.4941658109354661E-2</v>
      </c>
      <c r="T54">
        <v>200</v>
      </c>
      <c r="U54" s="57">
        <f t="shared" si="9"/>
        <v>11.871612341098821</v>
      </c>
      <c r="Y54">
        <v>200</v>
      </c>
      <c r="Z54" s="57">
        <f t="shared" si="8"/>
        <v>6.8851645223894202</v>
      </c>
    </row>
    <row r="55" spans="1:27" x14ac:dyDescent="0.25">
      <c r="A55" s="25"/>
      <c r="B55" s="5"/>
      <c r="C55" s="5" t="s">
        <v>329</v>
      </c>
      <c r="D55" s="59">
        <v>0.10800000000006094</v>
      </c>
      <c r="E55" s="60">
        <v>-0.94200000000000728</v>
      </c>
      <c r="F55" s="60">
        <v>-1.7330000000000041</v>
      </c>
      <c r="G55" s="60">
        <v>-7.5000000000017053E-2</v>
      </c>
      <c r="H55" s="60">
        <v>-8.199999999999999E-2</v>
      </c>
      <c r="I55" s="60">
        <v>2.8999999999999998E-2</v>
      </c>
      <c r="J55" s="161"/>
      <c r="K55" s="60">
        <v>-0.60999999999998522</v>
      </c>
      <c r="L55" s="60">
        <v>6.0000000000000026E-2</v>
      </c>
      <c r="M55" s="174">
        <v>0.32600000000000762</v>
      </c>
      <c r="O55" s="184">
        <v>42</v>
      </c>
      <c r="P55" s="57">
        <f>D99</f>
        <v>0.94813342942863976</v>
      </c>
      <c r="Q55" s="57">
        <f>J99</f>
        <v>1.6292440566167714</v>
      </c>
      <c r="S55" s="57">
        <f t="shared" ref="S55:S58" si="10">$P$59-P55</f>
        <v>-0.13319177131928506</v>
      </c>
    </row>
    <row r="56" spans="1:27" x14ac:dyDescent="0.25">
      <c r="A56" s="175"/>
      <c r="B56" s="9"/>
      <c r="C56" s="9"/>
      <c r="D56" s="166">
        <v>1.9754283079879262</v>
      </c>
      <c r="E56" s="162"/>
      <c r="F56" s="185">
        <f>ABS(F55/D56)*100</f>
        <v>87.727810368636071</v>
      </c>
      <c r="G56" s="162">
        <v>-1.3089969389960447</v>
      </c>
      <c r="H56" s="162">
        <v>-1.43116998663535</v>
      </c>
      <c r="I56" s="162">
        <v>0.50614548307835561</v>
      </c>
      <c r="J56" s="167">
        <v>2.004470944410885</v>
      </c>
      <c r="K56" s="168">
        <v>0.69424491355715878</v>
      </c>
      <c r="L56" s="162"/>
      <c r="M56" s="176"/>
      <c r="O56" s="184">
        <v>47</v>
      </c>
      <c r="P56" s="57">
        <f>D66</f>
        <v>0.56119248034892633</v>
      </c>
      <c r="Q56" s="57">
        <f>J66</f>
        <v>1.4329780273200032</v>
      </c>
      <c r="R56" s="57">
        <f>K66</f>
        <v>0.95840283805924331</v>
      </c>
      <c r="S56" s="57">
        <f t="shared" si="10"/>
        <v>0.25374917776042838</v>
      </c>
    </row>
    <row r="57" spans="1:27" x14ac:dyDescent="0.25">
      <c r="A57" s="177">
        <v>43292</v>
      </c>
      <c r="B57" s="2"/>
      <c r="C57" s="2" t="s">
        <v>327</v>
      </c>
      <c r="D57" s="164">
        <v>990.39</v>
      </c>
      <c r="E57" s="159">
        <v>1698.64</v>
      </c>
      <c r="F57" s="159">
        <v>42.37</v>
      </c>
      <c r="G57" s="159">
        <v>-134.88399999999999</v>
      </c>
      <c r="H57" s="159">
        <v>0.21</v>
      </c>
      <c r="I57" s="159">
        <v>7.8E-2</v>
      </c>
      <c r="J57" s="160">
        <v>0.1</v>
      </c>
      <c r="K57" s="159">
        <v>245.9</v>
      </c>
      <c r="L57" s="159">
        <v>0.21</v>
      </c>
      <c r="M57" s="178">
        <v>92.06</v>
      </c>
      <c r="O57" s="184">
        <v>52</v>
      </c>
      <c r="P57" s="57">
        <f>D69</f>
        <v>0.79085839440456263</v>
      </c>
      <c r="Q57" s="57">
        <f>J69</f>
        <v>1.5448875311910706</v>
      </c>
      <c r="R57" s="57">
        <f>K69</f>
        <v>0.71562280567349634</v>
      </c>
      <c r="S57" s="57">
        <f t="shared" si="10"/>
        <v>2.4083263704792079E-2</v>
      </c>
    </row>
    <row r="58" spans="1:27" x14ac:dyDescent="0.25">
      <c r="A58" s="25"/>
      <c r="B58" s="5"/>
      <c r="C58" s="5" t="s">
        <v>329</v>
      </c>
      <c r="D58" s="59">
        <v>2.8000000000020009E-2</v>
      </c>
      <c r="E58" s="60">
        <v>-0.99200000000018917</v>
      </c>
      <c r="F58" s="60">
        <v>-1.9329999999999998</v>
      </c>
      <c r="G58" s="60">
        <v>-7.5000000000017053E-2</v>
      </c>
      <c r="H58" s="60">
        <v>-8.6999999999999994E-2</v>
      </c>
      <c r="I58" s="60">
        <v>0.03</v>
      </c>
      <c r="J58" s="161"/>
      <c r="K58" s="60">
        <v>-0.53000000000000114</v>
      </c>
      <c r="L58" s="60">
        <v>7.0000000000000034E-2</v>
      </c>
      <c r="M58" s="174">
        <v>0.33599999999999852</v>
      </c>
      <c r="O58" s="184">
        <v>57</v>
      </c>
      <c r="P58" s="57">
        <f>D72</f>
        <v>0.97452398636464488</v>
      </c>
      <c r="Q58" s="57">
        <f>J72</f>
        <v>1.6704177816481693</v>
      </c>
      <c r="R58" s="57">
        <f>K72</f>
        <v>0.67389613443021157</v>
      </c>
      <c r="S58" s="57">
        <f t="shared" si="10"/>
        <v>-0.15958232825529017</v>
      </c>
    </row>
    <row r="59" spans="1:27" x14ac:dyDescent="0.25">
      <c r="A59" s="175"/>
      <c r="B59" s="9"/>
      <c r="C59" s="9"/>
      <c r="D59" s="166">
        <v>2.1728637785191172</v>
      </c>
      <c r="E59" s="162"/>
      <c r="F59" s="185">
        <f>ABS(F58/D59)*100</f>
        <v>88.960938053714855</v>
      </c>
      <c r="G59" s="162">
        <v>-1.3089969389960447</v>
      </c>
      <c r="H59" s="162">
        <v>-1.5184364492350666</v>
      </c>
      <c r="I59" s="162">
        <v>0.52359877559829882</v>
      </c>
      <c r="J59" s="167">
        <v>2.0720226626353897</v>
      </c>
      <c r="K59" s="168">
        <v>0.63142378795861043</v>
      </c>
      <c r="L59" s="162"/>
      <c r="M59" s="176"/>
      <c r="O59" s="40" t="s">
        <v>413</v>
      </c>
      <c r="P59" s="57">
        <f>AVERAGE(P54:P58)</f>
        <v>0.81494165810935471</v>
      </c>
      <c r="Q59" s="57"/>
    </row>
    <row r="60" spans="1:27" x14ac:dyDescent="0.25">
      <c r="A60" s="177">
        <v>43292</v>
      </c>
      <c r="B60" s="2"/>
      <c r="C60" s="2" t="s">
        <v>328</v>
      </c>
      <c r="D60" s="164">
        <v>990.44</v>
      </c>
      <c r="E60" s="159">
        <v>1698.64</v>
      </c>
      <c r="F60" s="159">
        <v>42.55</v>
      </c>
      <c r="G60" s="159">
        <v>-134.88499999999999</v>
      </c>
      <c r="H60" s="159">
        <v>0.214</v>
      </c>
      <c r="I60" s="159">
        <v>7.8E-2</v>
      </c>
      <c r="J60" s="160">
        <v>0.12</v>
      </c>
      <c r="K60" s="159">
        <v>245.83</v>
      </c>
      <c r="L60" s="159">
        <v>0.19</v>
      </c>
      <c r="M60" s="178">
        <v>92</v>
      </c>
    </row>
    <row r="61" spans="1:27" x14ac:dyDescent="0.25">
      <c r="A61" s="25"/>
      <c r="B61" s="5"/>
      <c r="C61" s="5" t="s">
        <v>329</v>
      </c>
      <c r="D61" s="59">
        <v>-2.2000000000048203E-2</v>
      </c>
      <c r="E61" s="60">
        <v>-0.99200000000018917</v>
      </c>
      <c r="F61" s="60">
        <v>-2.1129999999999995</v>
      </c>
      <c r="G61" s="60">
        <v>-7.4000000000012278E-2</v>
      </c>
      <c r="H61" s="60">
        <v>-9.0999999999999998E-2</v>
      </c>
      <c r="I61" s="60">
        <v>0.03</v>
      </c>
      <c r="J61" s="161"/>
      <c r="K61" s="60">
        <v>-0.46000000000000796</v>
      </c>
      <c r="L61" s="60">
        <v>9.0000000000000024E-2</v>
      </c>
      <c r="M61" s="174">
        <v>0.3960000000000008</v>
      </c>
    </row>
    <row r="62" spans="1:27" x14ac:dyDescent="0.25">
      <c r="A62" s="175"/>
      <c r="B62" s="9"/>
      <c r="C62" s="9"/>
      <c r="D62" s="166">
        <v>2.3343772188745278</v>
      </c>
      <c r="E62" s="162"/>
      <c r="F62" s="185">
        <f>ABS(F61/D62)*100</f>
        <v>90.516647563016377</v>
      </c>
      <c r="G62" s="162">
        <v>-1.2915436464760182</v>
      </c>
      <c r="H62" s="162">
        <v>-1.5882496193148399</v>
      </c>
      <c r="I62" s="162">
        <v>0.52359877559829882</v>
      </c>
      <c r="J62" s="167">
        <v>2.113002016519232</v>
      </c>
      <c r="K62" s="168">
        <v>0.61360899602271801</v>
      </c>
      <c r="L62" s="162"/>
      <c r="M62" s="176"/>
    </row>
    <row r="63" spans="1:27" x14ac:dyDescent="0.25">
      <c r="A63" s="25"/>
      <c r="B63" s="5"/>
      <c r="C63" s="5"/>
      <c r="D63" s="165"/>
      <c r="E63" s="60"/>
      <c r="F63" s="60"/>
      <c r="G63" s="60"/>
      <c r="H63" s="60"/>
      <c r="I63" s="60"/>
      <c r="J63" s="169"/>
      <c r="K63" s="41"/>
      <c r="L63" s="60"/>
      <c r="M63" s="174"/>
    </row>
    <row r="64" spans="1:27" x14ac:dyDescent="0.25">
      <c r="A64" s="177">
        <v>43298</v>
      </c>
      <c r="B64" s="2"/>
      <c r="C64" s="2" t="s">
        <v>317</v>
      </c>
      <c r="D64" s="164">
        <v>990.28</v>
      </c>
      <c r="E64" s="159">
        <v>1698.17</v>
      </c>
      <c r="F64" s="159">
        <v>40.590000000000003</v>
      </c>
      <c r="G64" s="159">
        <v>-134.89500000000001</v>
      </c>
      <c r="H64" s="159">
        <v>0.16900000000000001</v>
      </c>
      <c r="I64" s="159">
        <v>8.5000000000000006E-2</v>
      </c>
      <c r="J64" s="160">
        <v>7.0000000000000007E-2</v>
      </c>
      <c r="K64" s="159">
        <v>246.24</v>
      </c>
      <c r="L64" s="159">
        <v>0.2</v>
      </c>
      <c r="M64" s="178">
        <v>92.79</v>
      </c>
    </row>
    <row r="65" spans="1:28" x14ac:dyDescent="0.25">
      <c r="A65" s="25"/>
      <c r="B65" s="5"/>
      <c r="C65" s="5" t="s">
        <v>113</v>
      </c>
      <c r="D65" s="59">
        <v>0.13800000000003365</v>
      </c>
      <c r="E65" s="60">
        <v>-0.52200000000016189</v>
      </c>
      <c r="F65" s="60">
        <v>-0.1530000000000058</v>
      </c>
      <c r="G65" s="60">
        <v>-6.3999999999992951E-2</v>
      </c>
      <c r="H65" s="60">
        <v>-4.6000000000000013E-2</v>
      </c>
      <c r="I65" s="60">
        <v>2.2999999999999993E-2</v>
      </c>
      <c r="J65" s="161"/>
      <c r="K65" s="60">
        <v>-0.87000000000000455</v>
      </c>
      <c r="L65" s="60">
        <v>8.0000000000000016E-2</v>
      </c>
      <c r="M65" s="174">
        <v>-0.39400000000000546</v>
      </c>
    </row>
    <row r="66" spans="1:28" x14ac:dyDescent="0.25">
      <c r="A66" s="175"/>
      <c r="B66" s="9"/>
      <c r="C66" s="9"/>
      <c r="D66" s="166">
        <v>0.56119248034892633</v>
      </c>
      <c r="E66" s="162"/>
      <c r="F66" s="185">
        <f>ABS(F65/D66)*100</f>
        <v>27.263373148705899</v>
      </c>
      <c r="G66" s="162">
        <v>-1.1170107212762479</v>
      </c>
      <c r="H66" s="162">
        <v>-0.80285145591739182</v>
      </c>
      <c r="I66" s="162">
        <v>0.40142572795869569</v>
      </c>
      <c r="J66" s="167">
        <v>1.4329780273200032</v>
      </c>
      <c r="K66" s="168">
        <v>0.95840283805924331</v>
      </c>
      <c r="L66" s="162"/>
      <c r="M66" s="176"/>
    </row>
    <row r="67" spans="1:28" x14ac:dyDescent="0.25">
      <c r="A67" s="177">
        <v>43298</v>
      </c>
      <c r="B67" s="2"/>
      <c r="C67" s="2" t="s">
        <v>318</v>
      </c>
      <c r="D67" s="164">
        <v>989.84</v>
      </c>
      <c r="E67" s="159">
        <v>1698.13</v>
      </c>
      <c r="F67" s="159">
        <v>40.68</v>
      </c>
      <c r="G67" s="159">
        <v>-134.88399999999999</v>
      </c>
      <c r="H67" s="159">
        <v>0.16400000000000001</v>
      </c>
      <c r="I67" s="159">
        <v>8.5000000000000006E-2</v>
      </c>
      <c r="J67" s="160">
        <v>0.08</v>
      </c>
      <c r="K67" s="159">
        <v>246.05</v>
      </c>
      <c r="L67" s="159">
        <v>0.37</v>
      </c>
      <c r="M67" s="178">
        <v>92.6</v>
      </c>
    </row>
    <row r="68" spans="1:28" x14ac:dyDescent="0.25">
      <c r="A68" s="25"/>
      <c r="B68" s="5"/>
      <c r="C68" s="5" t="s">
        <v>113</v>
      </c>
      <c r="D68" s="59">
        <v>0.57799999999997453</v>
      </c>
      <c r="E68" s="60">
        <v>-0.48200000000019827</v>
      </c>
      <c r="F68" s="60">
        <v>-0.2430000000000021</v>
      </c>
      <c r="G68" s="60">
        <v>-7.5000000000017053E-2</v>
      </c>
      <c r="H68" s="60">
        <v>-4.1000000000000009E-2</v>
      </c>
      <c r="I68" s="60">
        <v>2.2999999999999993E-2</v>
      </c>
      <c r="J68" s="161"/>
      <c r="K68" s="60">
        <v>-0.68000000000000682</v>
      </c>
      <c r="L68" s="60">
        <v>-8.9999999999999969E-2</v>
      </c>
      <c r="M68" s="174">
        <v>-0.20399999999999352</v>
      </c>
    </row>
    <row r="69" spans="1:28" x14ac:dyDescent="0.25">
      <c r="A69" s="175"/>
      <c r="B69" s="9"/>
      <c r="C69" s="9"/>
      <c r="D69" s="166">
        <v>0.79085839440456263</v>
      </c>
      <c r="E69" s="162"/>
      <c r="F69" s="185">
        <f>ABS(F68/D69)*100</f>
        <v>30.726107444678114</v>
      </c>
      <c r="G69" s="162">
        <v>-1.3089969389960447</v>
      </c>
      <c r="H69" s="162">
        <v>-0.71558499331767533</v>
      </c>
      <c r="I69" s="162">
        <v>0.40142572795869569</v>
      </c>
      <c r="J69" s="167">
        <v>1.5448875311910706</v>
      </c>
      <c r="K69" s="168">
        <v>0.71562280567349634</v>
      </c>
      <c r="L69" s="162"/>
      <c r="M69" s="176"/>
    </row>
    <row r="70" spans="1:28" x14ac:dyDescent="0.25">
      <c r="A70" s="177">
        <v>43298</v>
      </c>
      <c r="B70" s="2"/>
      <c r="C70" s="2" t="s">
        <v>319</v>
      </c>
      <c r="D70" s="164">
        <v>989.82</v>
      </c>
      <c r="E70" s="159">
        <v>1698.27</v>
      </c>
      <c r="F70" s="159">
        <v>40.89</v>
      </c>
      <c r="G70" s="159">
        <v>-134.881</v>
      </c>
      <c r="H70" s="159">
        <v>0.17299999999999999</v>
      </c>
      <c r="I70" s="159">
        <v>8.4000000000000005E-2</v>
      </c>
      <c r="J70" s="160">
        <v>0.08</v>
      </c>
      <c r="K70" s="159">
        <v>245.98</v>
      </c>
      <c r="L70" s="159">
        <v>0.43</v>
      </c>
      <c r="M70" s="178">
        <v>92.64</v>
      </c>
    </row>
    <row r="71" spans="1:28" x14ac:dyDescent="0.25">
      <c r="A71" s="25"/>
      <c r="B71" s="5"/>
      <c r="C71" s="5" t="s">
        <v>113</v>
      </c>
      <c r="D71" s="59">
        <v>0.59799999999995634</v>
      </c>
      <c r="E71" s="60">
        <v>-0.62200000000007094</v>
      </c>
      <c r="F71" s="60">
        <v>-0.45300000000000296</v>
      </c>
      <c r="G71" s="60">
        <v>-7.8000000000002956E-2</v>
      </c>
      <c r="H71" s="60">
        <v>-4.9999999999999989E-2</v>
      </c>
      <c r="I71" s="60">
        <v>2.3999999999999994E-2</v>
      </c>
      <c r="J71" s="161"/>
      <c r="K71" s="60">
        <v>-0.60999999999998522</v>
      </c>
      <c r="L71" s="60">
        <v>-0.14999999999999997</v>
      </c>
      <c r="M71" s="174">
        <v>-0.24399999999999977</v>
      </c>
    </row>
    <row r="72" spans="1:28" ht="15.75" thickBot="1" x14ac:dyDescent="0.3">
      <c r="A72" s="27"/>
      <c r="B72" s="28"/>
      <c r="C72" s="28"/>
      <c r="D72" s="179">
        <v>0.97452398636464488</v>
      </c>
      <c r="E72" s="180"/>
      <c r="F72" s="185">
        <f>ABS(F71/D72)*100</f>
        <v>46.484232952527918</v>
      </c>
      <c r="G72" s="180">
        <v>-1.3613568165556287</v>
      </c>
      <c r="H72" s="180">
        <v>-0.87266462599716454</v>
      </c>
      <c r="I72" s="180">
        <v>0.41887902047863895</v>
      </c>
      <c r="J72" s="181">
        <v>1.6704177816481693</v>
      </c>
      <c r="K72" s="182">
        <v>0.67389613443021157</v>
      </c>
      <c r="L72" s="180"/>
      <c r="M72" s="183"/>
    </row>
    <row r="73" spans="1:28" ht="15.75" thickBot="1" x14ac:dyDescent="0.3"/>
    <row r="74" spans="1:28" x14ac:dyDescent="0.25">
      <c r="A74" s="170">
        <v>43298</v>
      </c>
      <c r="B74" s="22"/>
      <c r="C74" s="22" t="s">
        <v>320</v>
      </c>
      <c r="D74" s="171">
        <v>990.03</v>
      </c>
      <c r="E74" s="61">
        <v>1698.21</v>
      </c>
      <c r="F74" s="61">
        <v>40.659999999999997</v>
      </c>
      <c r="G74" s="61">
        <v>-134.887</v>
      </c>
      <c r="H74" s="61">
        <v>0.16900000000000001</v>
      </c>
      <c r="I74" s="61">
        <v>8.3000000000000004E-2</v>
      </c>
      <c r="J74" s="172">
        <v>7.0000000000000007E-2</v>
      </c>
      <c r="K74" s="61">
        <v>246.2</v>
      </c>
      <c r="L74" s="61">
        <v>0.19</v>
      </c>
      <c r="M74" s="173">
        <v>92.6</v>
      </c>
      <c r="T74" t="s">
        <v>400</v>
      </c>
      <c r="Y74" t="s">
        <v>399</v>
      </c>
    </row>
    <row r="75" spans="1:28" ht="18.75" x14ac:dyDescent="0.3">
      <c r="A75" s="25"/>
      <c r="B75" s="5"/>
      <c r="C75" s="5" t="s">
        <v>113</v>
      </c>
      <c r="D75" s="59">
        <v>0.38800000000003365</v>
      </c>
      <c r="E75" s="60">
        <v>-0.56200000000012551</v>
      </c>
      <c r="F75" s="60">
        <v>-0.22299999999999898</v>
      </c>
      <c r="G75" s="60">
        <v>-7.2000000000002728E-2</v>
      </c>
      <c r="H75" s="60">
        <v>-4.6000000000000013E-2</v>
      </c>
      <c r="I75" s="60">
        <v>2.4999999999999994E-2</v>
      </c>
      <c r="J75" s="161"/>
      <c r="K75" s="60">
        <v>-0.82999999999998408</v>
      </c>
      <c r="L75" s="60">
        <v>9.0000000000000024E-2</v>
      </c>
      <c r="M75" s="174">
        <v>-0.20399999999999352</v>
      </c>
      <c r="O75" s="201" t="s">
        <v>333</v>
      </c>
      <c r="P75" t="s">
        <v>416</v>
      </c>
      <c r="V75" t="s">
        <v>336</v>
      </c>
      <c r="W75" t="s">
        <v>338</v>
      </c>
      <c r="AA75" t="s">
        <v>336</v>
      </c>
      <c r="AB75" t="s">
        <v>338</v>
      </c>
    </row>
    <row r="76" spans="1:28" x14ac:dyDescent="0.25">
      <c r="A76" s="175"/>
      <c r="B76" s="9"/>
      <c r="C76" s="9"/>
      <c r="D76" s="166">
        <v>0.71841283396120281</v>
      </c>
      <c r="E76" s="162"/>
      <c r="F76" s="185">
        <f>ABS(F75/D76)*100</f>
        <v>31.040648142435867</v>
      </c>
      <c r="G76" s="162">
        <v>-1.256637061435965</v>
      </c>
      <c r="H76" s="162">
        <v>-0.80285145591739182</v>
      </c>
      <c r="I76" s="162">
        <v>0.43633231299858227</v>
      </c>
      <c r="J76" s="167">
        <v>1.5537351935930992</v>
      </c>
      <c r="K76" s="168">
        <v>0.85942771656490746</v>
      </c>
      <c r="L76" s="162"/>
      <c r="M76" s="176"/>
      <c r="O76" t="s">
        <v>330</v>
      </c>
      <c r="P76" t="s">
        <v>421</v>
      </c>
      <c r="Q76" t="s">
        <v>418</v>
      </c>
      <c r="R76" t="s">
        <v>419</v>
      </c>
      <c r="T76" t="s">
        <v>337</v>
      </c>
      <c r="U76" t="s">
        <v>335</v>
      </c>
      <c r="V76">
        <f>AVERAGE(V77:V79)</f>
        <v>4.5658884787837493E-2</v>
      </c>
      <c r="W76">
        <v>0</v>
      </c>
      <c r="Y76" t="s">
        <v>337</v>
      </c>
      <c r="Z76" t="s">
        <v>335</v>
      </c>
      <c r="AA76">
        <f>AVERAGE(AA77:AA79)</f>
        <v>1.8104088913967854E-2</v>
      </c>
      <c r="AB76">
        <f>P82-AA76*O82</f>
        <v>-0.20322768734841878</v>
      </c>
    </row>
    <row r="77" spans="1:28" x14ac:dyDescent="0.25">
      <c r="A77" s="177">
        <v>43298</v>
      </c>
      <c r="B77" s="2"/>
      <c r="C77" s="2" t="s">
        <v>321</v>
      </c>
      <c r="D77" s="164">
        <v>990.17</v>
      </c>
      <c r="E77" s="159">
        <v>1698.47</v>
      </c>
      <c r="F77" s="159">
        <v>41.61</v>
      </c>
      <c r="G77" s="159">
        <v>-134.88300000000001</v>
      </c>
      <c r="H77" s="159">
        <v>0.20100000000000001</v>
      </c>
      <c r="I77" s="159">
        <v>8.3000000000000004E-2</v>
      </c>
      <c r="J77" s="160">
        <v>0.11</v>
      </c>
      <c r="K77" s="159">
        <v>245.99</v>
      </c>
      <c r="L77" s="159">
        <v>0.13</v>
      </c>
      <c r="M77" s="178">
        <v>92.05</v>
      </c>
      <c r="O77" s="184">
        <v>47</v>
      </c>
      <c r="P77" s="57">
        <f>D79</f>
        <v>1.453656424331492</v>
      </c>
      <c r="Q77" s="57">
        <f>J79</f>
        <v>1.9501662713821999</v>
      </c>
      <c r="R77" s="57">
        <f>K79</f>
        <v>0.72568312644018962</v>
      </c>
      <c r="S77" s="57"/>
      <c r="T77">
        <v>0</v>
      </c>
      <c r="U77" s="57">
        <f t="shared" ref="U77:U83" si="11">$V$76*T77+$W$76</f>
        <v>0</v>
      </c>
      <c r="V77" s="202">
        <f>(P78-P77)/(O78-O77)</f>
        <v>5.2397670484325289E-2</v>
      </c>
      <c r="Y77">
        <v>0</v>
      </c>
      <c r="Z77" s="57">
        <f t="shared" ref="Z77:Z83" si="12">$AA$76*Y77+$AB$76</f>
        <v>-0.20322768734841878</v>
      </c>
      <c r="AA77" s="202">
        <f>(P82-P81)/(O82-O81)</f>
        <v>3.9544204433413551E-3</v>
      </c>
    </row>
    <row r="78" spans="1:28" x14ac:dyDescent="0.25">
      <c r="A78" s="25"/>
      <c r="B78" s="5"/>
      <c r="C78" s="5" t="s">
        <v>113</v>
      </c>
      <c r="D78" s="59">
        <v>0.24800000000004729</v>
      </c>
      <c r="E78" s="60">
        <v>-0.82200000000011642</v>
      </c>
      <c r="F78" s="60">
        <v>-1.5730000000000004</v>
      </c>
      <c r="G78" s="60">
        <v>-7.5999999999993406E-2</v>
      </c>
      <c r="H78" s="60">
        <v>-7.8000000000000014E-2</v>
      </c>
      <c r="I78" s="60">
        <v>2.4999999999999994E-2</v>
      </c>
      <c r="J78" s="161"/>
      <c r="K78" s="60">
        <v>-0.62000000000000455</v>
      </c>
      <c r="L78" s="60">
        <v>0.15000000000000002</v>
      </c>
      <c r="M78" s="174">
        <v>0.34600000000000364</v>
      </c>
      <c r="O78" s="184">
        <v>52</v>
      </c>
      <c r="P78" s="57">
        <f>D85</f>
        <v>1.7156447767531184</v>
      </c>
      <c r="Q78" s="57">
        <f>J85</f>
        <v>1.9632432891929463</v>
      </c>
      <c r="R78" s="57">
        <f>K85</f>
        <v>0.86889354929127971</v>
      </c>
      <c r="S78" s="57"/>
      <c r="T78">
        <v>10</v>
      </c>
      <c r="U78" s="57">
        <f t="shared" si="11"/>
        <v>0.45658884787837495</v>
      </c>
      <c r="V78" s="202">
        <f>(P79-P78)/(O79-O78)</f>
        <v>3.8920099091349677E-2</v>
      </c>
      <c r="Y78">
        <v>22</v>
      </c>
      <c r="Z78" s="57">
        <f t="shared" si="12"/>
        <v>0.195062268758874</v>
      </c>
      <c r="AA78" s="202">
        <f>(P83-P82)/(O83-O82)</f>
        <v>3.225375738459435E-2</v>
      </c>
    </row>
    <row r="79" spans="1:28" x14ac:dyDescent="0.25">
      <c r="A79" s="175"/>
      <c r="B79" s="9"/>
      <c r="C79" s="9"/>
      <c r="D79" s="166">
        <v>1.453656424331492</v>
      </c>
      <c r="E79" s="162"/>
      <c r="F79" s="185">
        <f>ABS(F78/D79)*100</f>
        <v>108.20988877914476</v>
      </c>
      <c r="G79" s="162">
        <v>-1.3264502315155755</v>
      </c>
      <c r="H79" s="162">
        <v>-1.3613568165555772</v>
      </c>
      <c r="I79" s="162">
        <v>0.43633231299858227</v>
      </c>
      <c r="J79" s="167">
        <v>1.9501662713821999</v>
      </c>
      <c r="K79" s="168">
        <v>0.72568312644018962</v>
      </c>
      <c r="L79" s="162"/>
      <c r="M79" s="176"/>
      <c r="O79" s="184">
        <v>57</v>
      </c>
      <c r="P79" s="57">
        <f>D91</f>
        <v>1.9102452722098668</v>
      </c>
      <c r="Q79" s="57">
        <f>J91</f>
        <v>1.7649412836518945</v>
      </c>
      <c r="R79" s="57">
        <f>K91</f>
        <v>0.66413552833739453</v>
      </c>
      <c r="S79" s="57"/>
      <c r="T79">
        <v>20</v>
      </c>
      <c r="U79" s="57">
        <f t="shared" si="11"/>
        <v>0.9131776957567499</v>
      </c>
      <c r="V79" s="202">
        <f>(P79-P77)/(O79-O77)</f>
        <v>4.5658884787837486E-2</v>
      </c>
      <c r="Y79">
        <v>20</v>
      </c>
      <c r="Z79" s="57">
        <f t="shared" si="12"/>
        <v>0.15885409093093827</v>
      </c>
      <c r="AA79" s="202">
        <f>(P83-P81)/(O83-O81)</f>
        <v>1.8104088913967854E-2</v>
      </c>
    </row>
    <row r="80" spans="1:28" x14ac:dyDescent="0.25">
      <c r="A80" s="177">
        <v>43298</v>
      </c>
      <c r="B80" s="2"/>
      <c r="C80" s="2" t="s">
        <v>322</v>
      </c>
      <c r="D80" s="164">
        <v>989.94</v>
      </c>
      <c r="E80" s="159">
        <v>1698.06</v>
      </c>
      <c r="F80" s="159">
        <v>40.82</v>
      </c>
      <c r="G80" s="159">
        <v>-134.887</v>
      </c>
      <c r="H80" s="159">
        <v>0.16600000000000001</v>
      </c>
      <c r="I80" s="159">
        <v>8.5999999999999993E-2</v>
      </c>
      <c r="J80" s="160">
        <v>0.09</v>
      </c>
      <c r="K80" s="159">
        <v>246.06</v>
      </c>
      <c r="L80" s="159">
        <v>0.11</v>
      </c>
      <c r="M80" s="178">
        <v>92.46</v>
      </c>
      <c r="O80" t="s">
        <v>331</v>
      </c>
      <c r="P80" t="s">
        <v>422</v>
      </c>
      <c r="Q80" t="s">
        <v>420</v>
      </c>
      <c r="R80" t="s">
        <v>419</v>
      </c>
      <c r="T80">
        <v>50</v>
      </c>
      <c r="U80" s="57">
        <f t="shared" si="11"/>
        <v>2.2829442393918749</v>
      </c>
      <c r="Y80">
        <v>50</v>
      </c>
      <c r="Z80" s="57">
        <f t="shared" si="12"/>
        <v>0.70197675834997386</v>
      </c>
    </row>
    <row r="81" spans="1:26" x14ac:dyDescent="0.25">
      <c r="A81" s="25"/>
      <c r="B81" s="5"/>
      <c r="C81" s="5" t="s">
        <v>113</v>
      </c>
      <c r="D81" s="59">
        <v>0.4779999999999518</v>
      </c>
      <c r="E81" s="60">
        <v>-0.41200000000003456</v>
      </c>
      <c r="F81" s="60">
        <v>-0.38300000000000267</v>
      </c>
      <c r="G81" s="60">
        <v>-7.2000000000002728E-2</v>
      </c>
      <c r="H81" s="60">
        <v>-4.300000000000001E-2</v>
      </c>
      <c r="I81" s="60">
        <v>2.2000000000000006E-2</v>
      </c>
      <c r="J81" s="161"/>
      <c r="K81" s="60">
        <v>-0.68999999999999773</v>
      </c>
      <c r="L81" s="60">
        <v>0.17000000000000004</v>
      </c>
      <c r="M81" s="174">
        <v>-6.3999999999992951E-2</v>
      </c>
      <c r="O81" s="184">
        <v>47</v>
      </c>
      <c r="P81" s="57">
        <f>D76</f>
        <v>0.71841283396120281</v>
      </c>
      <c r="Q81" s="57">
        <f>J76</f>
        <v>1.5537351935930992</v>
      </c>
      <c r="R81" s="57">
        <f>K76</f>
        <v>0.85942771656490746</v>
      </c>
      <c r="S81" s="57"/>
      <c r="T81">
        <v>100</v>
      </c>
      <c r="U81" s="57">
        <f t="shared" si="11"/>
        <v>4.5658884787837497</v>
      </c>
      <c r="Y81">
        <v>100</v>
      </c>
      <c r="Z81" s="57">
        <f t="shared" si="12"/>
        <v>1.6071812040483664</v>
      </c>
    </row>
    <row r="82" spans="1:26" x14ac:dyDescent="0.25">
      <c r="A82" s="175"/>
      <c r="B82" s="9"/>
      <c r="C82" s="9"/>
      <c r="D82" s="166">
        <v>0.73818493617790959</v>
      </c>
      <c r="E82" s="162"/>
      <c r="F82" s="185">
        <f>ABS(F81/D82)*100</f>
        <v>51.884017301010878</v>
      </c>
      <c r="G82" s="162">
        <v>-1.256637061435965</v>
      </c>
      <c r="H82" s="162">
        <v>-0.75049157835756186</v>
      </c>
      <c r="I82" s="162">
        <v>0.38397243543875259</v>
      </c>
      <c r="J82" s="167">
        <v>1.5132115333081522</v>
      </c>
      <c r="K82" s="168">
        <v>0.71350963553409419</v>
      </c>
      <c r="L82" s="162"/>
      <c r="M82" s="176"/>
      <c r="O82" s="184">
        <v>52</v>
      </c>
      <c r="P82" s="57">
        <f>D82</f>
        <v>0.73818493617790959</v>
      </c>
      <c r="Q82" s="57">
        <f>J82</f>
        <v>1.5132115333081522</v>
      </c>
      <c r="R82" s="57">
        <f>K82</f>
        <v>0.71350963553409419</v>
      </c>
      <c r="S82" s="57"/>
      <c r="T82">
        <v>150</v>
      </c>
      <c r="U82" s="57">
        <f t="shared" si="11"/>
        <v>6.8488327181756237</v>
      </c>
      <c r="Y82">
        <v>150</v>
      </c>
      <c r="Z82" s="57">
        <f t="shared" si="12"/>
        <v>2.5123856497467592</v>
      </c>
    </row>
    <row r="83" spans="1:26" x14ac:dyDescent="0.25">
      <c r="A83" s="177">
        <v>43298</v>
      </c>
      <c r="B83" s="2"/>
      <c r="C83" s="2" t="s">
        <v>323</v>
      </c>
      <c r="D83" s="164">
        <v>990.21</v>
      </c>
      <c r="E83" s="159">
        <v>1698.41</v>
      </c>
      <c r="F83" s="159">
        <v>41.96</v>
      </c>
      <c r="G83" s="159">
        <v>-134.88200000000001</v>
      </c>
      <c r="H83" s="159">
        <v>0.20300000000000001</v>
      </c>
      <c r="I83" s="159">
        <v>0.09</v>
      </c>
      <c r="J83" s="160">
        <v>7.0000000000000007E-2</v>
      </c>
      <c r="K83" s="159">
        <v>246.09</v>
      </c>
      <c r="L83" s="159">
        <v>0.18</v>
      </c>
      <c r="M83" s="178">
        <v>91.92</v>
      </c>
      <c r="O83" s="184">
        <v>57</v>
      </c>
      <c r="P83" s="57">
        <f>D88</f>
        <v>0.89945372310088134</v>
      </c>
      <c r="Q83" s="57">
        <f>J88</f>
        <v>1.5730248888457363</v>
      </c>
      <c r="R83" s="57">
        <f>K88</f>
        <v>0.837350583686437</v>
      </c>
      <c r="S83" s="57"/>
      <c r="T83">
        <v>200</v>
      </c>
      <c r="U83" s="57">
        <f t="shared" si="11"/>
        <v>9.1317769575674994</v>
      </c>
      <c r="Y83">
        <v>200</v>
      </c>
      <c r="Z83" s="57">
        <f t="shared" si="12"/>
        <v>3.4175900954451519</v>
      </c>
    </row>
    <row r="84" spans="1:26" x14ac:dyDescent="0.25">
      <c r="A84" s="25"/>
      <c r="B84" s="5"/>
      <c r="C84" s="5" t="s">
        <v>113</v>
      </c>
      <c r="D84" s="59">
        <v>0.20799999999996999</v>
      </c>
      <c r="E84" s="60">
        <v>-0.76200000000017099</v>
      </c>
      <c r="F84" s="60">
        <v>-1.5230000000000032</v>
      </c>
      <c r="G84" s="60">
        <v>-7.6999999999998181E-2</v>
      </c>
      <c r="H84" s="60">
        <v>-8.0000000000000016E-2</v>
      </c>
      <c r="I84" s="60">
        <v>1.8000000000000002E-2</v>
      </c>
      <c r="J84" s="161"/>
      <c r="K84" s="60">
        <v>-0.71999999999999886</v>
      </c>
      <c r="L84" s="60">
        <v>0.10000000000000003</v>
      </c>
      <c r="M84" s="174">
        <v>0.47599999999999909</v>
      </c>
    </row>
    <row r="85" spans="1:26" x14ac:dyDescent="0.25">
      <c r="A85" s="175"/>
      <c r="B85" s="9"/>
      <c r="C85" s="9"/>
      <c r="D85" s="166">
        <v>1.7156447767531184</v>
      </c>
      <c r="E85" s="162"/>
      <c r="F85" s="185">
        <f>ABS(F84/D85)*100</f>
        <v>88.771289991760526</v>
      </c>
      <c r="G85" s="162">
        <v>-1.3439035240356021</v>
      </c>
      <c r="H85" s="162">
        <v>-1.3962634015954638</v>
      </c>
      <c r="I85" s="162">
        <v>0.31415926535897937</v>
      </c>
      <c r="J85" s="167">
        <v>1.9632432891929463</v>
      </c>
      <c r="K85" s="168">
        <v>0.86889354929127971</v>
      </c>
      <c r="L85" s="162"/>
      <c r="M85" s="176"/>
    </row>
    <row r="86" spans="1:26" x14ac:dyDescent="0.25">
      <c r="A86" s="177">
        <v>43298</v>
      </c>
      <c r="B86" s="2"/>
      <c r="C86" s="2" t="s">
        <v>324</v>
      </c>
      <c r="D86" s="164">
        <v>989.98</v>
      </c>
      <c r="E86" s="159">
        <v>1698.31</v>
      </c>
      <c r="F86" s="159">
        <v>40.86</v>
      </c>
      <c r="G86" s="159">
        <v>-134.88999999999999</v>
      </c>
      <c r="H86" s="159">
        <v>0.17199999999999999</v>
      </c>
      <c r="I86" s="159">
        <v>7.6999999999999999E-2</v>
      </c>
      <c r="J86" s="160">
        <v>0.06</v>
      </c>
      <c r="K86" s="159">
        <v>246.11</v>
      </c>
      <c r="L86" s="159">
        <v>0.01</v>
      </c>
      <c r="M86" s="178">
        <v>92.68</v>
      </c>
    </row>
    <row r="87" spans="1:26" x14ac:dyDescent="0.25">
      <c r="A87" s="25"/>
      <c r="B87" s="5"/>
      <c r="C87" s="5" t="s">
        <v>113</v>
      </c>
      <c r="D87" s="59">
        <v>0.43799999999998818</v>
      </c>
      <c r="E87" s="60">
        <v>-0.66200000000003456</v>
      </c>
      <c r="F87" s="60">
        <v>-0.42300000000000182</v>
      </c>
      <c r="G87" s="60">
        <v>-6.9000000000016826E-2</v>
      </c>
      <c r="H87" s="60">
        <v>-4.8999999999999988E-2</v>
      </c>
      <c r="I87" s="60">
        <v>3.1E-2</v>
      </c>
      <c r="J87" s="161"/>
      <c r="K87" s="60">
        <v>-0.74000000000000909</v>
      </c>
      <c r="L87" s="60">
        <v>0.27</v>
      </c>
      <c r="M87" s="174">
        <v>-0.28400000000000603</v>
      </c>
    </row>
    <row r="88" spans="1:26" x14ac:dyDescent="0.25">
      <c r="A88" s="175"/>
      <c r="B88" s="9"/>
      <c r="C88" s="9"/>
      <c r="D88" s="166">
        <v>0.89945372310088134</v>
      </c>
      <c r="E88" s="162"/>
      <c r="F88" s="185">
        <f>ABS(F87/D88)*100</f>
        <v>47.028545119775863</v>
      </c>
      <c r="G88" s="162">
        <v>-1.2042771838763811</v>
      </c>
      <c r="H88" s="162">
        <v>-0.85521133347722134</v>
      </c>
      <c r="I88" s="162">
        <v>0.54105206811824214</v>
      </c>
      <c r="J88" s="167">
        <v>1.5730248888457363</v>
      </c>
      <c r="K88" s="168">
        <v>0.837350583686437</v>
      </c>
      <c r="L88" s="162"/>
      <c r="M88" s="176"/>
    </row>
    <row r="89" spans="1:26" x14ac:dyDescent="0.25">
      <c r="A89" s="177">
        <v>43298</v>
      </c>
      <c r="B89" s="2"/>
      <c r="C89" s="2" t="s">
        <v>325</v>
      </c>
      <c r="D89" s="164">
        <v>990.09</v>
      </c>
      <c r="E89" s="159">
        <v>1698.49</v>
      </c>
      <c r="F89" s="159">
        <v>42.12</v>
      </c>
      <c r="G89" s="159">
        <v>-134.88200000000001</v>
      </c>
      <c r="H89" s="159">
        <v>0.184</v>
      </c>
      <c r="I89" s="159">
        <v>8.4000000000000005E-2</v>
      </c>
      <c r="J89" s="160">
        <v>0.08</v>
      </c>
      <c r="K89" s="159">
        <v>245.94</v>
      </c>
      <c r="L89" s="159">
        <v>0.08</v>
      </c>
      <c r="M89" s="178">
        <v>92.12</v>
      </c>
    </row>
    <row r="90" spans="1:26" x14ac:dyDescent="0.25">
      <c r="A90" s="25"/>
      <c r="B90" s="5"/>
      <c r="C90" s="5" t="s">
        <v>113</v>
      </c>
      <c r="D90" s="59">
        <v>0.32799999999997453</v>
      </c>
      <c r="E90" s="60">
        <v>-0.84200000000009823</v>
      </c>
      <c r="F90" s="60">
        <v>-1.4830000000000041</v>
      </c>
      <c r="G90" s="60">
        <v>-7.6999999999998181E-2</v>
      </c>
      <c r="H90" s="60">
        <v>-6.0999999999999999E-2</v>
      </c>
      <c r="I90" s="60">
        <v>2.3999999999999994E-2</v>
      </c>
      <c r="J90" s="161"/>
      <c r="K90" s="60">
        <v>-0.56999999999999318</v>
      </c>
      <c r="L90" s="60">
        <v>0.2</v>
      </c>
      <c r="M90" s="174">
        <v>0.27599999999999625</v>
      </c>
    </row>
    <row r="91" spans="1:26" ht="15.75" thickBot="1" x14ac:dyDescent="0.3">
      <c r="A91" s="27"/>
      <c r="B91" s="28"/>
      <c r="C91" s="28"/>
      <c r="D91" s="179">
        <v>1.9102452722098668</v>
      </c>
      <c r="E91" s="180"/>
      <c r="F91" s="204">
        <f>ABS(F90/D91)*100</f>
        <v>77.634009704125376</v>
      </c>
      <c r="G91" s="180">
        <v>-1.3439035240356021</v>
      </c>
      <c r="H91" s="180">
        <v>-1.064650843716541</v>
      </c>
      <c r="I91" s="180">
        <v>0.41887902047863895</v>
      </c>
      <c r="J91" s="181">
        <v>1.7649412836518945</v>
      </c>
      <c r="K91" s="182">
        <v>0.66413552833739453</v>
      </c>
      <c r="L91" s="180"/>
      <c r="M91" s="183"/>
    </row>
    <row r="93" spans="1:26" ht="15.75" thickBot="1" x14ac:dyDescent="0.3"/>
    <row r="94" spans="1:26" x14ac:dyDescent="0.25">
      <c r="A94" s="170">
        <v>43290</v>
      </c>
      <c r="B94" s="22"/>
      <c r="C94" s="22" t="s">
        <v>407</v>
      </c>
      <c r="D94" s="171">
        <v>989.95</v>
      </c>
      <c r="E94" s="61">
        <v>1698.17</v>
      </c>
      <c r="F94" s="61">
        <v>41.34</v>
      </c>
      <c r="G94" s="61">
        <v>-134.886</v>
      </c>
      <c r="H94" s="61">
        <v>0.16700000000000001</v>
      </c>
      <c r="I94" s="61">
        <v>8.1000000000000003E-2</v>
      </c>
      <c r="J94" s="172">
        <v>0.1</v>
      </c>
      <c r="K94" s="61">
        <v>246.09</v>
      </c>
      <c r="L94" s="61">
        <v>0.23</v>
      </c>
      <c r="M94" s="173">
        <v>92.46</v>
      </c>
      <c r="Q94">
        <v>0.02</v>
      </c>
    </row>
    <row r="95" spans="1:26" x14ac:dyDescent="0.25">
      <c r="A95" s="25"/>
      <c r="B95" s="5"/>
      <c r="C95" s="5" t="s">
        <v>410</v>
      </c>
      <c r="D95" s="59">
        <v>0.46799999999996089</v>
      </c>
      <c r="E95" s="60">
        <v>-0.52200000000016189</v>
      </c>
      <c r="F95" s="60">
        <v>-0.9030000000000058</v>
      </c>
      <c r="G95" s="60">
        <v>-7.3000000000007503E-2</v>
      </c>
      <c r="H95" s="60">
        <v>-4.4000000000000011E-2</v>
      </c>
      <c r="I95" s="60">
        <v>2.6999999999999996E-2</v>
      </c>
      <c r="J95" s="161"/>
      <c r="K95" s="60">
        <v>-0.71999999999999886</v>
      </c>
      <c r="L95" s="60">
        <v>5.0000000000000017E-2</v>
      </c>
      <c r="M95" s="174">
        <v>-6.3999999999992951E-2</v>
      </c>
    </row>
    <row r="96" spans="1:26" x14ac:dyDescent="0.25">
      <c r="A96" s="175"/>
      <c r="B96" s="9"/>
      <c r="C96" s="9"/>
      <c r="D96" s="166">
        <v>1.1432047060785495</v>
      </c>
      <c r="E96" s="162"/>
      <c r="F96" s="185">
        <f>ABS(F95/D96)*100</f>
        <v>78.988478196306573</v>
      </c>
      <c r="G96" s="162">
        <v>-1.2740903539559916</v>
      </c>
      <c r="H96" s="162">
        <v>-0.76794487087750518</v>
      </c>
      <c r="I96" s="162">
        <v>0.47123889803846886</v>
      </c>
      <c r="J96" s="167">
        <v>1.5604844291998821</v>
      </c>
      <c r="K96" s="168">
        <v>0.72456607704197518</v>
      </c>
      <c r="L96" s="162"/>
      <c r="M96" s="176"/>
    </row>
    <row r="97" spans="1:17" x14ac:dyDescent="0.25">
      <c r="A97" s="177">
        <v>43290</v>
      </c>
      <c r="B97" s="2"/>
      <c r="C97" s="2" t="s">
        <v>406</v>
      </c>
      <c r="D97" s="164">
        <v>989.89</v>
      </c>
      <c r="E97" s="159">
        <v>1698.27</v>
      </c>
      <c r="F97" s="159">
        <v>40.92</v>
      </c>
      <c r="G97" s="159">
        <v>-134.88300000000001</v>
      </c>
      <c r="H97" s="159">
        <v>0.17</v>
      </c>
      <c r="I97" s="159">
        <v>8.1000000000000003E-2</v>
      </c>
      <c r="J97" s="160">
        <v>0.12</v>
      </c>
      <c r="K97" s="159">
        <v>246.05</v>
      </c>
      <c r="L97" s="159">
        <v>0.18</v>
      </c>
      <c r="M97" s="178">
        <v>92.55</v>
      </c>
      <c r="Q97">
        <v>0.03</v>
      </c>
    </row>
    <row r="98" spans="1:17" x14ac:dyDescent="0.25">
      <c r="A98" s="25"/>
      <c r="B98" s="5"/>
      <c r="C98" s="5" t="s">
        <v>405</v>
      </c>
      <c r="D98" s="59">
        <v>0.52800000000002001</v>
      </c>
      <c r="E98" s="60">
        <v>-0.62200000000007094</v>
      </c>
      <c r="F98" s="60">
        <v>-0.48300000000000409</v>
      </c>
      <c r="G98" s="60">
        <v>-7.5999999999993406E-2</v>
      </c>
      <c r="H98" s="60">
        <v>-4.7000000000000014E-2</v>
      </c>
      <c r="I98" s="60">
        <v>2.6999999999999996E-2</v>
      </c>
      <c r="J98" s="161"/>
      <c r="K98" s="60">
        <v>-0.68000000000000682</v>
      </c>
      <c r="L98" s="60">
        <v>0.10000000000000003</v>
      </c>
      <c r="M98" s="174">
        <v>-0.15399999999999636</v>
      </c>
    </row>
    <row r="99" spans="1:17" x14ac:dyDescent="0.25">
      <c r="A99" s="175"/>
      <c r="B99" s="9"/>
      <c r="C99" s="9"/>
      <c r="D99" s="166">
        <v>0.94813342942863976</v>
      </c>
      <c r="E99" s="162"/>
      <c r="F99" s="185">
        <f>ABS(F98/D99)*100</f>
        <v>50.942197058811388</v>
      </c>
      <c r="G99" s="162">
        <v>-1.3264502315155755</v>
      </c>
      <c r="H99" s="162">
        <v>-0.82030474843733503</v>
      </c>
      <c r="I99" s="162">
        <v>0.47123889803846886</v>
      </c>
      <c r="J99" s="167">
        <v>1.6292440566167714</v>
      </c>
      <c r="K99" s="168">
        <v>0.70435502411781536</v>
      </c>
      <c r="L99" s="162"/>
      <c r="M99" s="176"/>
    </row>
    <row r="100" spans="1:17" x14ac:dyDescent="0.25">
      <c r="A100" s="177">
        <v>43292</v>
      </c>
      <c r="B100" s="2"/>
      <c r="C100" s="2" t="s">
        <v>401</v>
      </c>
      <c r="D100" s="164">
        <v>990.18</v>
      </c>
      <c r="E100" s="159">
        <v>1698.49</v>
      </c>
      <c r="F100" s="159">
        <v>41.88</v>
      </c>
      <c r="G100" s="159">
        <v>-134.886</v>
      </c>
      <c r="H100" s="159">
        <v>0.19700000000000001</v>
      </c>
      <c r="I100" s="159">
        <v>7.4999999999999997E-2</v>
      </c>
      <c r="J100" s="160">
        <v>0.13</v>
      </c>
      <c r="K100" s="159">
        <v>246.15</v>
      </c>
      <c r="L100" s="159">
        <v>0.19</v>
      </c>
      <c r="M100" s="178">
        <v>92.11</v>
      </c>
    </row>
    <row r="101" spans="1:17" x14ac:dyDescent="0.25">
      <c r="A101" s="25"/>
      <c r="B101" s="5"/>
      <c r="C101" s="5" t="s">
        <v>330</v>
      </c>
      <c r="D101" s="59">
        <v>0.23800000000005639</v>
      </c>
      <c r="E101" s="60">
        <v>-0.84200000000009823</v>
      </c>
      <c r="F101" s="60">
        <v>-1.4430000000000049</v>
      </c>
      <c r="G101" s="60">
        <v>-7.3000000000007503E-2</v>
      </c>
      <c r="H101" s="60">
        <v>-7.400000000000001E-2</v>
      </c>
      <c r="I101" s="60">
        <v>3.3000000000000002E-2</v>
      </c>
      <c r="J101" s="161"/>
      <c r="K101" s="60">
        <v>-0.78000000000000114</v>
      </c>
      <c r="L101" s="60">
        <v>9.0000000000000024E-2</v>
      </c>
      <c r="M101" s="174">
        <v>0.28600000000000136</v>
      </c>
    </row>
    <row r="102" spans="1:17" x14ac:dyDescent="0.25">
      <c r="A102" s="175"/>
      <c r="B102" s="9"/>
      <c r="C102" s="9"/>
      <c r="D102" s="166">
        <v>1.6875594804332694</v>
      </c>
      <c r="E102" s="162"/>
      <c r="F102" s="185">
        <f>ABS(F101/D102)*100</f>
        <v>85.508097150420113</v>
      </c>
      <c r="G102" s="162">
        <v>-1.2740903539559916</v>
      </c>
      <c r="H102" s="162">
        <v>-1.2915436464758039</v>
      </c>
      <c r="I102" s="162">
        <v>0.57595865315812866</v>
      </c>
      <c r="J102" s="167">
        <v>1.9034493927980973</v>
      </c>
      <c r="K102" s="168">
        <v>0.83564107127402643</v>
      </c>
      <c r="L102" s="162"/>
      <c r="M102" s="176"/>
    </row>
    <row r="103" spans="1:17" x14ac:dyDescent="0.25">
      <c r="A103" s="177">
        <v>43292</v>
      </c>
      <c r="B103" s="2"/>
      <c r="C103" s="2" t="s">
        <v>401</v>
      </c>
      <c r="D103" s="164">
        <v>990.31</v>
      </c>
      <c r="E103" s="159">
        <v>1698.59</v>
      </c>
      <c r="F103" s="159">
        <v>41.66</v>
      </c>
      <c r="G103" s="159">
        <v>-134.88399999999999</v>
      </c>
      <c r="H103" s="159">
        <v>0.20300000000000001</v>
      </c>
      <c r="I103" s="159">
        <v>7.9000000000000001E-2</v>
      </c>
      <c r="J103" s="160">
        <v>7.0000000000000007E-2</v>
      </c>
      <c r="K103" s="159">
        <v>246.07</v>
      </c>
      <c r="L103" s="159">
        <v>0.23</v>
      </c>
      <c r="M103" s="178">
        <v>92.14</v>
      </c>
    </row>
    <row r="104" spans="1:17" x14ac:dyDescent="0.25">
      <c r="A104" s="25"/>
      <c r="B104" s="5"/>
      <c r="C104" s="5" t="s">
        <v>330</v>
      </c>
      <c r="D104" s="59">
        <v>0.10800000000006094</v>
      </c>
      <c r="E104" s="60">
        <v>-0.94200000000000728</v>
      </c>
      <c r="F104" s="60">
        <v>-1.2230000000000001</v>
      </c>
      <c r="G104" s="60">
        <v>-7.5000000000017053E-2</v>
      </c>
      <c r="H104" s="60">
        <v>-8.0000000000000016E-2</v>
      </c>
      <c r="I104" s="60">
        <v>2.8999999999999998E-2</v>
      </c>
      <c r="J104" s="161"/>
      <c r="K104" s="60">
        <v>-0.69999999999998863</v>
      </c>
      <c r="L104" s="60">
        <v>5.0000000000000017E-2</v>
      </c>
      <c r="M104" s="174">
        <v>0.25600000000000023</v>
      </c>
    </row>
    <row r="105" spans="1:17" x14ac:dyDescent="0.25">
      <c r="A105" s="175"/>
      <c r="B105" s="9"/>
      <c r="C105" s="9"/>
      <c r="D105" s="166">
        <v>1.5475002423263216</v>
      </c>
      <c r="E105" s="162"/>
      <c r="F105" s="185">
        <f>ABS(F104/D105)*100</f>
        <v>79.030682293237788</v>
      </c>
      <c r="G105" s="162">
        <v>-1.3089969389960447</v>
      </c>
      <c r="H105" s="162">
        <v>-1.3962634015954638</v>
      </c>
      <c r="I105" s="162">
        <v>0.50614548307835561</v>
      </c>
      <c r="J105" s="167">
        <v>1.9796988970488851</v>
      </c>
      <c r="K105" s="168">
        <v>0.7470180720705385</v>
      </c>
      <c r="L105" s="162"/>
      <c r="M105" s="176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7B9A-8A26-4CDF-BC78-868D04B7A350}">
  <dimension ref="A1:Q35"/>
  <sheetViews>
    <sheetView topLeftCell="A22" zoomScale="82" zoomScaleNormal="82" workbookViewId="0">
      <selection activeCell="D44" sqref="D44"/>
    </sheetView>
  </sheetViews>
  <sheetFormatPr baseColWidth="10" defaultRowHeight="15" x14ac:dyDescent="0.25"/>
  <cols>
    <col min="3" max="3" width="34.7109375" customWidth="1"/>
  </cols>
  <sheetData>
    <row r="1" spans="1:17" x14ac:dyDescent="0.25">
      <c r="A1" t="s">
        <v>53</v>
      </c>
    </row>
    <row r="2" spans="1:17" x14ac:dyDescent="0.25">
      <c r="A2" s="1">
        <v>43293</v>
      </c>
      <c r="B2" s="2"/>
      <c r="C2" s="2" t="s">
        <v>54</v>
      </c>
      <c r="D2" s="154">
        <v>990.07</v>
      </c>
      <c r="E2" s="149">
        <v>1698.24</v>
      </c>
      <c r="F2" s="149">
        <v>41.1</v>
      </c>
      <c r="G2" s="149">
        <v>-134.88399999999999</v>
      </c>
      <c r="H2" s="149">
        <v>0.17199999999999999</v>
      </c>
      <c r="I2" s="149">
        <v>8.4000000000000005E-2</v>
      </c>
      <c r="J2" s="150">
        <v>0.09</v>
      </c>
      <c r="K2" s="149">
        <v>457.23</v>
      </c>
      <c r="L2" s="149">
        <v>-5.52</v>
      </c>
      <c r="M2" s="149">
        <v>-44.28</v>
      </c>
      <c r="N2" s="149">
        <v>0</v>
      </c>
      <c r="O2" s="2">
        <v>0</v>
      </c>
      <c r="P2" s="2">
        <v>0</v>
      </c>
      <c r="Q2" s="3">
        <v>0.02</v>
      </c>
    </row>
    <row r="3" spans="1:17" x14ac:dyDescent="0.25">
      <c r="A3" s="4"/>
      <c r="B3" s="5"/>
      <c r="C3" s="5" t="s">
        <v>35</v>
      </c>
      <c r="D3" s="155">
        <v>0.34799999999995634</v>
      </c>
      <c r="E3" s="116">
        <v>-0.59200000000009823</v>
      </c>
      <c r="F3" s="116">
        <v>-0.66300000000000381</v>
      </c>
      <c r="G3" s="116">
        <v>-7.5000000000017053E-2</v>
      </c>
      <c r="H3" s="116">
        <v>-4.8999999999999988E-2</v>
      </c>
      <c r="I3" s="116">
        <v>2.3999999999999994E-2</v>
      </c>
      <c r="J3" s="151"/>
      <c r="K3" s="116">
        <v>-211.86</v>
      </c>
      <c r="L3" s="116">
        <v>5.8</v>
      </c>
      <c r="M3" s="116">
        <v>136.67599999999999</v>
      </c>
      <c r="N3" s="116">
        <v>0.15</v>
      </c>
      <c r="O3" s="5">
        <v>90.01</v>
      </c>
      <c r="P3" s="5">
        <v>0.2</v>
      </c>
      <c r="Q3" s="6"/>
    </row>
    <row r="4" spans="1:17" x14ac:dyDescent="0.25">
      <c r="A4" s="8"/>
      <c r="B4" s="9"/>
      <c r="C4" s="9"/>
      <c r="D4" s="156">
        <v>0.95453496531038129</v>
      </c>
      <c r="E4" s="152"/>
      <c r="F4" s="152"/>
      <c r="G4" s="152">
        <v>-1.3089969389960447</v>
      </c>
      <c r="H4" s="152">
        <v>-0.85521133347722134</v>
      </c>
      <c r="I4" s="152">
        <v>0.41887902047863895</v>
      </c>
      <c r="J4" s="153">
        <v>1.6187399559552629</v>
      </c>
      <c r="K4" s="157">
        <v>252.18768521876717</v>
      </c>
      <c r="L4" s="152"/>
      <c r="M4" s="152"/>
      <c r="N4" s="152"/>
      <c r="O4" s="9"/>
      <c r="P4" s="9"/>
      <c r="Q4" s="10"/>
    </row>
    <row r="5" spans="1:17" x14ac:dyDescent="0.25">
      <c r="A5" s="1">
        <v>43293</v>
      </c>
      <c r="B5" s="2"/>
      <c r="C5" s="2" t="s">
        <v>54</v>
      </c>
      <c r="D5" s="154">
        <v>990.06</v>
      </c>
      <c r="E5" s="149">
        <v>1698.26</v>
      </c>
      <c r="F5" s="149">
        <v>41.11</v>
      </c>
      <c r="G5" s="149">
        <v>-134.88399999999999</v>
      </c>
      <c r="H5" s="149">
        <v>0.17199999999999999</v>
      </c>
      <c r="I5" s="149">
        <v>8.4000000000000005E-2</v>
      </c>
      <c r="J5" s="150">
        <v>0.1</v>
      </c>
      <c r="K5" s="149">
        <v>457.23</v>
      </c>
      <c r="L5" s="149">
        <v>-5.5</v>
      </c>
      <c r="M5" s="149">
        <v>-44.27</v>
      </c>
      <c r="N5" s="149">
        <v>0</v>
      </c>
      <c r="O5" s="2">
        <v>0</v>
      </c>
      <c r="P5" s="2">
        <v>0</v>
      </c>
      <c r="Q5" s="3">
        <v>0.02</v>
      </c>
    </row>
    <row r="6" spans="1:17" x14ac:dyDescent="0.25">
      <c r="A6" s="4"/>
      <c r="B6" s="5"/>
      <c r="C6" s="5" t="s">
        <v>36</v>
      </c>
      <c r="D6" s="155">
        <v>0.35800000000006094</v>
      </c>
      <c r="E6" s="116">
        <v>-0.61200000000008004</v>
      </c>
      <c r="F6" s="116">
        <v>-0.67300000000000182</v>
      </c>
      <c r="G6" s="116">
        <v>-7.5000000000017053E-2</v>
      </c>
      <c r="H6" s="116">
        <v>-4.8999999999999988E-2</v>
      </c>
      <c r="I6" s="116">
        <v>2.3999999999999994E-2</v>
      </c>
      <c r="J6" s="151"/>
      <c r="K6" s="116">
        <v>-211.86</v>
      </c>
      <c r="L6" s="116">
        <v>5.78</v>
      </c>
      <c r="M6" s="116">
        <v>136.666</v>
      </c>
      <c r="N6" s="116">
        <v>0.15</v>
      </c>
      <c r="O6" s="5">
        <v>90.01</v>
      </c>
      <c r="P6" s="5">
        <v>0.2</v>
      </c>
      <c r="Q6" s="6"/>
    </row>
    <row r="7" spans="1:17" x14ac:dyDescent="0.25">
      <c r="A7" s="8"/>
      <c r="B7" s="9"/>
      <c r="C7" s="9"/>
      <c r="D7" s="156">
        <v>0.97756687750769466</v>
      </c>
      <c r="E7" s="152"/>
      <c r="F7" s="152"/>
      <c r="G7" s="152">
        <v>-1.3089969389960447</v>
      </c>
      <c r="H7" s="152">
        <v>-0.85521133347722134</v>
      </c>
      <c r="I7" s="152">
        <v>0.41887902047863895</v>
      </c>
      <c r="J7" s="153">
        <v>1.6187399559552629</v>
      </c>
      <c r="K7" s="157">
        <v>252.18180655233638</v>
      </c>
      <c r="L7" s="152"/>
      <c r="M7" s="152"/>
      <c r="N7" s="152"/>
      <c r="O7" s="9"/>
      <c r="P7" s="9"/>
      <c r="Q7" s="10"/>
    </row>
    <row r="8" spans="1:17" x14ac:dyDescent="0.25">
      <c r="A8" s="1">
        <v>43293</v>
      </c>
      <c r="B8" s="2"/>
      <c r="C8" s="2" t="s">
        <v>56</v>
      </c>
      <c r="D8" s="154">
        <v>990.08</v>
      </c>
      <c r="E8" s="149">
        <v>1698.2</v>
      </c>
      <c r="F8" s="149">
        <v>40.840000000000003</v>
      </c>
      <c r="G8" s="149">
        <v>-134.887</v>
      </c>
      <c r="H8" s="149">
        <v>0.16900000000000001</v>
      </c>
      <c r="I8" s="149">
        <v>8.4000000000000005E-2</v>
      </c>
      <c r="J8" s="150">
        <v>0.09</v>
      </c>
      <c r="K8" s="149">
        <v>114.96</v>
      </c>
      <c r="L8" s="149">
        <v>280.83</v>
      </c>
      <c r="M8" s="149">
        <v>-63.55</v>
      </c>
      <c r="N8" s="149">
        <v>0</v>
      </c>
      <c r="O8" s="2">
        <v>0</v>
      </c>
      <c r="P8" s="2">
        <v>0</v>
      </c>
      <c r="Q8" s="3">
        <v>0.02</v>
      </c>
    </row>
    <row r="9" spans="1:17" x14ac:dyDescent="0.25">
      <c r="A9" s="4"/>
      <c r="B9" s="5"/>
      <c r="C9" s="5" t="s">
        <v>35</v>
      </c>
      <c r="D9" s="155">
        <v>0.33799999999996544</v>
      </c>
      <c r="E9" s="116">
        <v>-0.55200000000013461</v>
      </c>
      <c r="F9" s="116">
        <v>-0.4030000000000058</v>
      </c>
      <c r="G9" s="116">
        <v>-7.2000000000002728E-2</v>
      </c>
      <c r="H9" s="116">
        <v>-4.6000000000000013E-2</v>
      </c>
      <c r="I9" s="116">
        <v>2.3999999999999994E-2</v>
      </c>
      <c r="J9" s="151"/>
      <c r="K9" s="116">
        <v>130.41000000000003</v>
      </c>
      <c r="L9" s="116">
        <v>-280.55</v>
      </c>
      <c r="M9" s="116">
        <v>155.946</v>
      </c>
      <c r="N9" s="116">
        <v>0.15</v>
      </c>
      <c r="O9" s="5">
        <v>90.01</v>
      </c>
      <c r="P9" s="5">
        <v>0.2</v>
      </c>
      <c r="Q9" s="6"/>
    </row>
    <row r="10" spans="1:17" x14ac:dyDescent="0.25">
      <c r="A10" s="8"/>
      <c r="B10" s="9"/>
      <c r="C10" s="9"/>
      <c r="D10" s="156">
        <v>0.76246770423417276</v>
      </c>
      <c r="E10" s="152"/>
      <c r="F10" s="152"/>
      <c r="G10" s="152">
        <v>-1.256637061435965</v>
      </c>
      <c r="H10" s="152">
        <v>-0.80285145591739182</v>
      </c>
      <c r="I10" s="152">
        <v>0.41887902047863895</v>
      </c>
      <c r="J10" s="153">
        <v>1.5489244004276765</v>
      </c>
      <c r="K10" s="157">
        <v>346.45955826907129</v>
      </c>
      <c r="L10" s="152"/>
      <c r="M10" s="152"/>
      <c r="N10" s="152"/>
      <c r="O10" s="9"/>
      <c r="P10" s="9"/>
      <c r="Q10" s="10"/>
    </row>
    <row r="11" spans="1:17" x14ac:dyDescent="0.25">
      <c r="A11" s="1">
        <v>43293</v>
      </c>
      <c r="B11" s="2"/>
      <c r="C11" s="2" t="s">
        <v>57</v>
      </c>
      <c r="D11" s="154">
        <v>990.11</v>
      </c>
      <c r="E11" s="149">
        <v>1698.23</v>
      </c>
      <c r="F11" s="149">
        <v>40.85</v>
      </c>
      <c r="G11" s="149">
        <v>-134.886</v>
      </c>
      <c r="H11" s="149">
        <v>0.17</v>
      </c>
      <c r="I11" s="149">
        <v>8.4000000000000005E-2</v>
      </c>
      <c r="J11" s="150">
        <v>0.08</v>
      </c>
      <c r="K11" s="149">
        <v>114.94</v>
      </c>
      <c r="L11" s="149">
        <v>280.81</v>
      </c>
      <c r="M11" s="149">
        <v>-63.58</v>
      </c>
      <c r="N11" s="149">
        <v>0</v>
      </c>
      <c r="O11" s="2">
        <v>0</v>
      </c>
      <c r="P11" s="2">
        <v>0</v>
      </c>
      <c r="Q11" s="3">
        <v>0.02</v>
      </c>
    </row>
    <row r="12" spans="1:17" x14ac:dyDescent="0.25">
      <c r="A12" s="4"/>
      <c r="B12" s="5"/>
      <c r="C12" s="5" t="s">
        <v>36</v>
      </c>
      <c r="D12" s="155">
        <v>0.30799999999999272</v>
      </c>
      <c r="E12" s="116">
        <v>-0.58200000000010732</v>
      </c>
      <c r="F12" s="116">
        <v>-0.41300000000000381</v>
      </c>
      <c r="G12" s="116">
        <v>-7.3000000000007503E-2</v>
      </c>
      <c r="H12" s="116">
        <v>-4.7000000000000014E-2</v>
      </c>
      <c r="I12" s="116">
        <v>2.3999999999999994E-2</v>
      </c>
      <c r="J12" s="151"/>
      <c r="K12" s="116">
        <v>130.43</v>
      </c>
      <c r="L12" s="116">
        <v>-280.53000000000003</v>
      </c>
      <c r="M12" s="116">
        <v>155.976</v>
      </c>
      <c r="N12" s="116">
        <v>0.15</v>
      </c>
      <c r="O12" s="5">
        <v>90.01</v>
      </c>
      <c r="P12" s="5">
        <v>0.2</v>
      </c>
      <c r="Q12" s="6"/>
    </row>
    <row r="13" spans="1:17" x14ac:dyDescent="0.25">
      <c r="A13" s="8"/>
      <c r="B13" s="9"/>
      <c r="C13" s="9"/>
      <c r="D13" s="156">
        <v>0.77727536947990539</v>
      </c>
      <c r="E13" s="152"/>
      <c r="F13" s="152"/>
      <c r="G13" s="152">
        <v>-1.2740903539559916</v>
      </c>
      <c r="H13" s="152">
        <v>-0.82030474843733503</v>
      </c>
      <c r="I13" s="152">
        <v>0.41887902047863895</v>
      </c>
      <c r="J13" s="153">
        <v>1.5721532190437697</v>
      </c>
      <c r="K13" s="157">
        <v>346.46439698185441</v>
      </c>
      <c r="L13" s="152"/>
      <c r="M13" s="152"/>
      <c r="N13" s="152"/>
      <c r="O13" s="9"/>
      <c r="P13" s="9"/>
      <c r="Q13" s="10"/>
    </row>
    <row r="14" spans="1:17" x14ac:dyDescent="0.25">
      <c r="A14" s="1">
        <v>43293</v>
      </c>
      <c r="B14" s="2"/>
      <c r="C14" s="2" t="s">
        <v>58</v>
      </c>
      <c r="D14" s="154">
        <v>989.97</v>
      </c>
      <c r="E14" s="149">
        <v>1698.23</v>
      </c>
      <c r="F14" s="149">
        <v>40.82</v>
      </c>
      <c r="G14" s="149">
        <v>-134.88399999999999</v>
      </c>
      <c r="H14" s="149">
        <v>0.16900000000000001</v>
      </c>
      <c r="I14" s="149">
        <v>8.4000000000000005E-2</v>
      </c>
      <c r="J14" s="150">
        <v>0.06</v>
      </c>
      <c r="K14" s="149">
        <v>-15.81</v>
      </c>
      <c r="L14" s="149">
        <v>108.62</v>
      </c>
      <c r="M14" s="149">
        <v>9</v>
      </c>
      <c r="N14" s="149">
        <v>0</v>
      </c>
      <c r="O14" s="2">
        <v>0</v>
      </c>
      <c r="P14" s="2">
        <v>0</v>
      </c>
      <c r="Q14" s="3">
        <v>0.01</v>
      </c>
    </row>
    <row r="15" spans="1:17" x14ac:dyDescent="0.25">
      <c r="A15" s="4"/>
      <c r="B15" s="5"/>
      <c r="C15" s="5"/>
      <c r="D15" s="155">
        <v>0.44799999999997908</v>
      </c>
      <c r="E15" s="116">
        <v>-0.58200000000010732</v>
      </c>
      <c r="F15" s="116">
        <v>-0.38300000000000267</v>
      </c>
      <c r="G15" s="116">
        <v>-7.5000000000017053E-2</v>
      </c>
      <c r="H15" s="116">
        <v>-4.6000000000000013E-2</v>
      </c>
      <c r="I15" s="116">
        <v>2.3999999999999994E-2</v>
      </c>
      <c r="J15" s="151"/>
      <c r="K15" s="116">
        <v>261.18</v>
      </c>
      <c r="L15" s="116">
        <v>-108.34</v>
      </c>
      <c r="M15" s="116">
        <v>83.396000000000001</v>
      </c>
      <c r="N15" s="116">
        <v>0.15</v>
      </c>
      <c r="O15" s="5">
        <v>90.01</v>
      </c>
      <c r="P15" s="5">
        <v>0.2</v>
      </c>
      <c r="Q15" s="6"/>
    </row>
    <row r="16" spans="1:17" x14ac:dyDescent="0.25">
      <c r="A16" s="8"/>
      <c r="B16" s="9"/>
      <c r="C16" s="9"/>
      <c r="D16" s="156">
        <v>0.82832179737111122</v>
      </c>
      <c r="E16" s="152"/>
      <c r="F16" s="152"/>
      <c r="G16" s="152">
        <v>-1.3089969389960447</v>
      </c>
      <c r="H16" s="152">
        <v>-0.80285145591739182</v>
      </c>
      <c r="I16" s="152">
        <v>0.41887902047863895</v>
      </c>
      <c r="J16" s="153">
        <v>1.5916981750215193</v>
      </c>
      <c r="K16" s="157">
        <v>294.80067980925691</v>
      </c>
      <c r="L16" s="152"/>
      <c r="M16" s="152"/>
      <c r="N16" s="152"/>
      <c r="O16" s="9"/>
      <c r="P16" s="9"/>
      <c r="Q16" s="10"/>
    </row>
    <row r="17" spans="1:17" x14ac:dyDescent="0.25">
      <c r="A17" s="1">
        <v>43293</v>
      </c>
      <c r="B17" s="2"/>
      <c r="C17" s="2" t="s">
        <v>129</v>
      </c>
      <c r="D17" s="154">
        <v>989.91</v>
      </c>
      <c r="E17" s="149">
        <v>1698.26</v>
      </c>
      <c r="F17" s="149">
        <v>40.97</v>
      </c>
      <c r="G17" s="149">
        <v>-134.88399999999999</v>
      </c>
      <c r="H17" s="149">
        <v>0.16800000000000001</v>
      </c>
      <c r="I17" s="149">
        <v>0.08</v>
      </c>
      <c r="J17" s="150">
        <v>0.06</v>
      </c>
      <c r="K17" s="149">
        <v>-25.6</v>
      </c>
      <c r="L17" s="149">
        <v>108.73</v>
      </c>
      <c r="M17" s="149">
        <v>9.1</v>
      </c>
      <c r="N17" s="149">
        <v>0</v>
      </c>
      <c r="O17" s="2">
        <v>0</v>
      </c>
      <c r="P17" s="2">
        <v>0</v>
      </c>
      <c r="Q17" s="3">
        <v>0.02</v>
      </c>
    </row>
    <row r="18" spans="1:17" x14ac:dyDescent="0.25">
      <c r="A18" s="4"/>
      <c r="B18" s="5"/>
      <c r="C18" s="5" t="s">
        <v>122</v>
      </c>
      <c r="D18" s="155">
        <v>0.5080000000000382</v>
      </c>
      <c r="E18" s="116">
        <v>-0.61200000000008004</v>
      </c>
      <c r="F18" s="116">
        <v>-0.53300000000000125</v>
      </c>
      <c r="G18" s="116">
        <v>-7.5000000000017053E-2</v>
      </c>
      <c r="H18" s="116">
        <v>-4.5000000000000012E-2</v>
      </c>
      <c r="I18" s="116">
        <v>2.7999999999999997E-2</v>
      </c>
      <c r="J18" s="151"/>
      <c r="K18" s="116">
        <v>270.97000000000003</v>
      </c>
      <c r="L18" s="116">
        <v>-108.45</v>
      </c>
      <c r="M18" s="116">
        <v>83.296000000000006</v>
      </c>
      <c r="N18" s="116">
        <v>0.15</v>
      </c>
      <c r="O18" s="5">
        <v>90.01</v>
      </c>
      <c r="P18" s="5">
        <v>0.2</v>
      </c>
      <c r="Q18" s="6"/>
    </row>
    <row r="19" spans="1:17" x14ac:dyDescent="0.25">
      <c r="A19" s="8"/>
      <c r="B19" s="9"/>
      <c r="C19" s="9" t="s">
        <v>128</v>
      </c>
      <c r="D19" s="156">
        <v>0.9574429486920556</v>
      </c>
      <c r="E19" s="152"/>
      <c r="F19" s="152"/>
      <c r="G19" s="152">
        <v>-1.3089969389960447</v>
      </c>
      <c r="H19" s="152">
        <v>-0.78539816339744839</v>
      </c>
      <c r="I19" s="152">
        <v>0.48869219055841223</v>
      </c>
      <c r="J19" s="153">
        <v>1.6028547402936673</v>
      </c>
      <c r="K19" s="157">
        <v>303.5199614786481</v>
      </c>
      <c r="L19" s="152"/>
      <c r="M19" s="152"/>
      <c r="N19" s="152"/>
      <c r="O19" s="9"/>
      <c r="P19" s="9"/>
      <c r="Q19" s="10"/>
    </row>
    <row r="20" spans="1:17" x14ac:dyDescent="0.25">
      <c r="A20" s="1">
        <v>43293</v>
      </c>
      <c r="B20" s="2"/>
      <c r="C20" s="2" t="s">
        <v>130</v>
      </c>
      <c r="D20" s="154">
        <v>989.98</v>
      </c>
      <c r="E20" s="149">
        <v>1698.16</v>
      </c>
      <c r="F20" s="149">
        <v>40.98</v>
      </c>
      <c r="G20" s="149">
        <v>-134.88499999999999</v>
      </c>
      <c r="H20" s="149">
        <v>0.17</v>
      </c>
      <c r="I20" s="149">
        <v>8.5000000000000006E-2</v>
      </c>
      <c r="J20" s="150">
        <v>0.06</v>
      </c>
      <c r="K20" s="149">
        <v>-25.61</v>
      </c>
      <c r="L20" s="149">
        <v>108.7</v>
      </c>
      <c r="M20" s="149">
        <v>9</v>
      </c>
      <c r="N20" s="149">
        <v>0</v>
      </c>
      <c r="O20" s="2">
        <v>0</v>
      </c>
      <c r="P20" s="2">
        <v>0</v>
      </c>
      <c r="Q20" s="3">
        <v>0.02</v>
      </c>
    </row>
    <row r="21" spans="1:17" x14ac:dyDescent="0.25">
      <c r="A21" s="4"/>
      <c r="B21" s="5"/>
      <c r="C21" s="5" t="s">
        <v>122</v>
      </c>
      <c r="D21" s="155">
        <v>0.43799999999998818</v>
      </c>
      <c r="E21" s="116">
        <v>-0.51200000000017099</v>
      </c>
      <c r="F21" s="116">
        <v>-0.54299999999999926</v>
      </c>
      <c r="G21" s="116">
        <v>-7.4000000000012278E-2</v>
      </c>
      <c r="H21" s="116">
        <v>-4.7000000000000014E-2</v>
      </c>
      <c r="I21" s="116">
        <v>2.2999999999999993E-2</v>
      </c>
      <c r="J21" s="151"/>
      <c r="K21" s="116">
        <v>270.98</v>
      </c>
      <c r="L21" s="116">
        <v>-108.42</v>
      </c>
      <c r="M21" s="116">
        <v>83.396000000000001</v>
      </c>
      <c r="N21" s="116">
        <v>0.15</v>
      </c>
      <c r="O21" s="5">
        <v>90.01</v>
      </c>
      <c r="P21" s="5">
        <v>0.2</v>
      </c>
      <c r="Q21" s="6"/>
    </row>
    <row r="22" spans="1:17" x14ac:dyDescent="0.25">
      <c r="A22" s="8"/>
      <c r="B22" s="9"/>
      <c r="C22" s="9" t="s">
        <v>128</v>
      </c>
      <c r="D22" s="156">
        <v>0.8653536849174237</v>
      </c>
      <c r="E22" s="152"/>
      <c r="F22" s="152"/>
      <c r="G22" s="152">
        <v>-1.2915436464760182</v>
      </c>
      <c r="H22" s="152">
        <v>-0.82030474843733503</v>
      </c>
      <c r="I22" s="152">
        <v>0.40142572795869569</v>
      </c>
      <c r="J22" s="153">
        <v>1.5818114571998074</v>
      </c>
      <c r="K22" s="157">
        <v>303.54563020409307</v>
      </c>
      <c r="L22" s="152"/>
      <c r="M22" s="152"/>
      <c r="N22" s="152"/>
      <c r="O22" s="9"/>
      <c r="P22" s="9"/>
      <c r="Q22" s="10"/>
    </row>
    <row r="23" spans="1:17" x14ac:dyDescent="0.25">
      <c r="A23" s="1">
        <v>43293</v>
      </c>
      <c r="B23" s="2"/>
      <c r="C23" s="2" t="s">
        <v>131</v>
      </c>
      <c r="D23" s="154">
        <v>990</v>
      </c>
      <c r="E23" s="149">
        <v>1698.23</v>
      </c>
      <c r="F23" s="149">
        <v>40.96</v>
      </c>
      <c r="G23" s="149">
        <v>-134.88900000000001</v>
      </c>
      <c r="H23" s="149">
        <v>0.17100000000000001</v>
      </c>
      <c r="I23" s="149">
        <v>8.1000000000000003E-2</v>
      </c>
      <c r="J23" s="150">
        <v>0.05</v>
      </c>
      <c r="K23" s="149">
        <v>245.96</v>
      </c>
      <c r="L23" s="149">
        <v>0.28999999999999998</v>
      </c>
      <c r="M23" s="149">
        <v>92.56</v>
      </c>
      <c r="N23" s="149">
        <v>0</v>
      </c>
      <c r="O23" s="2">
        <v>0</v>
      </c>
      <c r="P23" s="2">
        <v>0</v>
      </c>
      <c r="Q23" s="3">
        <v>0.01</v>
      </c>
    </row>
    <row r="24" spans="1:17" x14ac:dyDescent="0.25">
      <c r="A24" s="4"/>
      <c r="B24" s="5"/>
      <c r="C24" s="5" t="s">
        <v>122</v>
      </c>
      <c r="D24" s="155">
        <v>0.41800000000000637</v>
      </c>
      <c r="E24" s="116">
        <v>-0.58200000000010732</v>
      </c>
      <c r="F24" s="116">
        <v>-0.52300000000000324</v>
      </c>
      <c r="G24" s="116">
        <v>-6.9999999999993179E-2</v>
      </c>
      <c r="H24" s="116">
        <v>-4.8000000000000015E-2</v>
      </c>
      <c r="I24" s="116">
        <v>2.6999999999999996E-2</v>
      </c>
      <c r="J24" s="151"/>
      <c r="K24" s="116">
        <v>-0.59000000000000341</v>
      </c>
      <c r="L24" s="116">
        <v>-9.9999999999999534E-3</v>
      </c>
      <c r="M24" s="116">
        <v>-0.16400000000000148</v>
      </c>
      <c r="N24" s="116">
        <v>0.15</v>
      </c>
      <c r="O24" s="5">
        <v>90.01</v>
      </c>
      <c r="P24" s="5">
        <v>0.2</v>
      </c>
      <c r="Q24" s="6"/>
    </row>
    <row r="25" spans="1:17" x14ac:dyDescent="0.25">
      <c r="A25" s="8"/>
      <c r="B25" s="9"/>
      <c r="C25" s="9" t="s">
        <v>128</v>
      </c>
      <c r="D25" s="156">
        <v>0.88711724140619297</v>
      </c>
      <c r="E25" s="152"/>
      <c r="F25" s="152"/>
      <c r="G25" s="152">
        <v>-1.2217304763959118</v>
      </c>
      <c r="H25" s="152">
        <v>-0.83775804095727846</v>
      </c>
      <c r="I25" s="152">
        <v>0.47123889803846886</v>
      </c>
      <c r="J25" s="153">
        <v>1.5545192154385448</v>
      </c>
      <c r="K25" s="157">
        <v>0.61245081435165427</v>
      </c>
      <c r="L25" s="152"/>
      <c r="M25" s="152"/>
      <c r="N25" s="152"/>
      <c r="O25" s="9"/>
      <c r="P25" s="9"/>
      <c r="Q25" s="10"/>
    </row>
    <row r="28" spans="1:17" x14ac:dyDescent="0.25">
      <c r="D28" s="158">
        <v>0.95453496531038129</v>
      </c>
      <c r="E28" s="158">
        <v>252.18768521876717</v>
      </c>
      <c r="F28" s="158">
        <v>0.95453496531038129</v>
      </c>
    </row>
    <row r="29" spans="1:17" x14ac:dyDescent="0.25">
      <c r="D29" s="158">
        <v>0.97756687750769466</v>
      </c>
      <c r="E29" s="158">
        <v>252.18180655233638</v>
      </c>
      <c r="F29" s="158">
        <v>0.97756687750769466</v>
      </c>
    </row>
    <row r="30" spans="1:17" x14ac:dyDescent="0.25">
      <c r="D30" s="158">
        <v>0.76246770423417276</v>
      </c>
      <c r="E30" s="158">
        <v>346.45955826907129</v>
      </c>
      <c r="F30" s="158">
        <v>0.76246770423417276</v>
      </c>
    </row>
    <row r="31" spans="1:17" x14ac:dyDescent="0.25">
      <c r="D31" s="158">
        <v>0.77727536947990539</v>
      </c>
      <c r="E31" s="158">
        <v>346.46439698185441</v>
      </c>
      <c r="F31" s="158">
        <v>0.77727536947990539</v>
      </c>
    </row>
    <row r="32" spans="1:17" x14ac:dyDescent="0.25">
      <c r="D32" s="158">
        <v>0.82832179737111122</v>
      </c>
      <c r="E32" s="158">
        <v>294.80067980925691</v>
      </c>
      <c r="F32" s="158">
        <v>0.82832179737111122</v>
      </c>
    </row>
    <row r="33" spans="4:6" x14ac:dyDescent="0.25">
      <c r="D33" s="158">
        <v>0.9574429486920556</v>
      </c>
      <c r="E33" s="158">
        <v>303.5199614786481</v>
      </c>
      <c r="F33" s="158">
        <v>0.9574429486920556</v>
      </c>
    </row>
    <row r="34" spans="4:6" x14ac:dyDescent="0.25">
      <c r="D34" s="158">
        <v>0.8653536849174237</v>
      </c>
      <c r="E34" s="158">
        <v>303.54563020409307</v>
      </c>
      <c r="F34" s="158">
        <v>0.8653536849174237</v>
      </c>
    </row>
    <row r="35" spans="4:6" x14ac:dyDescent="0.25">
      <c r="D35" s="158">
        <v>0.88711724140619297</v>
      </c>
      <c r="E35" s="158">
        <v>0.61245081435165427</v>
      </c>
      <c r="F35" s="158">
        <v>0.88711724140619297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15"/>
  <sheetViews>
    <sheetView tabSelected="1" topLeftCell="P46" workbookViewId="0">
      <selection activeCell="U65" sqref="U65"/>
    </sheetView>
  </sheetViews>
  <sheetFormatPr baseColWidth="10" defaultRowHeight="15" x14ac:dyDescent="0.25"/>
  <cols>
    <col min="1" max="1" width="19.28515625" customWidth="1"/>
    <col min="2" max="2" width="8" customWidth="1"/>
    <col min="12" max="12" width="15.42578125" customWidth="1"/>
    <col min="13" max="13" width="6.140625" customWidth="1"/>
    <col min="14" max="14" width="3.140625" customWidth="1"/>
    <col min="15" max="15" width="12.42578125" customWidth="1"/>
    <col min="16" max="16" width="9.5703125" customWidth="1"/>
    <col min="17" max="17" width="8.85546875" customWidth="1"/>
    <col min="18" max="18" width="9.140625" customWidth="1"/>
    <col min="19" max="19" width="2.85546875" customWidth="1"/>
    <col min="20" max="20" width="30.140625" customWidth="1"/>
    <col min="21" max="21" width="11.42578125" customWidth="1"/>
  </cols>
  <sheetData>
    <row r="1" spans="1:22" x14ac:dyDescent="0.25">
      <c r="C1" t="s">
        <v>362</v>
      </c>
      <c r="D1" t="s">
        <v>363</v>
      </c>
      <c r="E1" t="s">
        <v>364</v>
      </c>
    </row>
    <row r="2" spans="1:22" x14ac:dyDescent="0.25">
      <c r="B2" s="40" t="s">
        <v>292</v>
      </c>
      <c r="C2">
        <v>1899.94</v>
      </c>
      <c r="D2">
        <v>498.31</v>
      </c>
      <c r="E2">
        <v>663.88</v>
      </c>
    </row>
    <row r="4" spans="1:22" ht="15.75" thickBot="1" x14ac:dyDescent="0.3">
      <c r="C4" t="s">
        <v>163</v>
      </c>
      <c r="I4" t="s">
        <v>370</v>
      </c>
    </row>
    <row r="5" spans="1:22" ht="15.75" thickBot="1" x14ac:dyDescent="0.3">
      <c r="C5" s="229" t="s">
        <v>153</v>
      </c>
      <c r="D5" s="230"/>
      <c r="E5" s="231"/>
      <c r="F5" s="229" t="s">
        <v>154</v>
      </c>
      <c r="G5" s="230"/>
      <c r="H5" s="231"/>
      <c r="I5" s="229" t="s">
        <v>155</v>
      </c>
      <c r="J5" s="230"/>
      <c r="K5" s="231"/>
      <c r="L5" s="144" t="s">
        <v>369</v>
      </c>
      <c r="M5" s="144"/>
      <c r="N5" s="144"/>
    </row>
    <row r="6" spans="1:22" ht="15.75" thickBot="1" x14ac:dyDescent="0.3">
      <c r="A6" t="s">
        <v>157</v>
      </c>
      <c r="B6" t="s">
        <v>152</v>
      </c>
      <c r="C6" s="105" t="s">
        <v>362</v>
      </c>
      <c r="D6" s="106" t="s">
        <v>363</v>
      </c>
      <c r="E6" s="107" t="s">
        <v>364</v>
      </c>
      <c r="F6" s="105" t="s">
        <v>362</v>
      </c>
      <c r="G6" s="106" t="s">
        <v>363</v>
      </c>
      <c r="H6" s="107" t="s">
        <v>364</v>
      </c>
      <c r="I6" s="105" t="s">
        <v>365</v>
      </c>
      <c r="J6" s="106" t="s">
        <v>366</v>
      </c>
      <c r="K6" s="107" t="s">
        <v>367</v>
      </c>
      <c r="L6" s="144" t="s">
        <v>368</v>
      </c>
      <c r="M6" s="144"/>
      <c r="N6" s="144"/>
      <c r="U6" t="s">
        <v>155</v>
      </c>
      <c r="V6" t="s">
        <v>353</v>
      </c>
    </row>
    <row r="7" spans="1:22" x14ac:dyDescent="0.25">
      <c r="A7" s="108" t="s">
        <v>42</v>
      </c>
      <c r="B7" s="109">
        <v>0.72361111111111109</v>
      </c>
      <c r="C7" s="113">
        <v>531.74</v>
      </c>
      <c r="D7" s="114">
        <v>162.56</v>
      </c>
      <c r="E7" s="115">
        <v>694.7</v>
      </c>
      <c r="F7" s="113">
        <v>531.84</v>
      </c>
      <c r="G7" s="114">
        <v>162.97</v>
      </c>
      <c r="H7" s="115">
        <v>694.2</v>
      </c>
      <c r="I7" s="113">
        <f>C7-F7</f>
        <v>-0.10000000000002274</v>
      </c>
      <c r="J7" s="114">
        <f>D7-G7</f>
        <v>-0.40999999999999659</v>
      </c>
      <c r="K7" s="115">
        <f>E7-H7</f>
        <v>0.5</v>
      </c>
      <c r="L7" s="133">
        <f>SQRT((C7-$C$2)^2+(D7-$D$2)^2+(E7-$E$2)^2)</f>
        <v>1409.1306450787308</v>
      </c>
      <c r="M7" s="133">
        <f>IF((ABS(K7)&gt;1)*AND(L7&gt;1700),1,0)</f>
        <v>0</v>
      </c>
      <c r="N7" s="133">
        <f>IF(L7&gt;1700,1,0)</f>
        <v>0</v>
      </c>
      <c r="O7" s="128" t="s">
        <v>158</v>
      </c>
      <c r="P7">
        <v>0.71799999999996089</v>
      </c>
      <c r="Q7">
        <v>-0.94200000000000728</v>
      </c>
      <c r="R7">
        <v>-0.40300000000003422</v>
      </c>
      <c r="T7" t="str">
        <f>A8</f>
        <v>1. Kinematische Base</v>
      </c>
      <c r="U7" s="57">
        <f>P8</f>
        <v>1.2511182997622508</v>
      </c>
      <c r="V7" s="57">
        <f>P10</f>
        <v>0.92200867674876463</v>
      </c>
    </row>
    <row r="8" spans="1:22" x14ac:dyDescent="0.25">
      <c r="A8" s="25" t="s">
        <v>356</v>
      </c>
      <c r="B8" s="5"/>
      <c r="C8" s="112">
        <v>529.26</v>
      </c>
      <c r="D8" s="116">
        <v>861.56</v>
      </c>
      <c r="E8" s="51">
        <v>694.51</v>
      </c>
      <c r="F8" s="112">
        <v>529.25</v>
      </c>
      <c r="G8" s="116">
        <v>862.06</v>
      </c>
      <c r="H8" s="51">
        <v>693.36</v>
      </c>
      <c r="I8" s="112">
        <f t="shared" ref="I8:I71" si="0">C8-F8</f>
        <v>9.9999999999909051E-3</v>
      </c>
      <c r="J8" s="116">
        <f t="shared" ref="J8:J71" si="1">D8-G8</f>
        <v>-0.5</v>
      </c>
      <c r="K8" s="51">
        <f t="shared" ref="K8:K71" si="2">E8-H8</f>
        <v>1.1499999999999773</v>
      </c>
      <c r="L8" s="133">
        <f t="shared" ref="L8:L46" si="3">SQRT((C8-$C$2)^2+(D8-$D$2)^2+(E8-$E$2)^2)</f>
        <v>1418.3273323884018</v>
      </c>
      <c r="M8" s="133">
        <f t="shared" ref="M8:M46" si="4">IF((ABS(K8)&gt;1)*AND(L8&gt;1700),1,0)</f>
        <v>0</v>
      </c>
      <c r="N8" s="133">
        <f t="shared" ref="N8:N46" si="5">IF(L8&gt;1700,1,0)</f>
        <v>0</v>
      </c>
      <c r="O8" s="40" t="s">
        <v>159</v>
      </c>
      <c r="P8" s="38">
        <v>1.2511182997622508</v>
      </c>
      <c r="T8" t="str">
        <f>A14</f>
        <v>Kinematische Base klein</v>
      </c>
      <c r="U8" s="57">
        <f>P14</f>
        <v>0.91154648811792849</v>
      </c>
      <c r="V8" s="57">
        <f>P16</f>
        <v>1.0507589849458769</v>
      </c>
    </row>
    <row r="9" spans="1:22" x14ac:dyDescent="0.25">
      <c r="A9" s="25"/>
      <c r="B9" s="5"/>
      <c r="C9" s="112">
        <v>505.93</v>
      </c>
      <c r="D9" s="116">
        <v>1332.29</v>
      </c>
      <c r="E9" s="51">
        <v>693.97</v>
      </c>
      <c r="F9" s="112">
        <v>505.88</v>
      </c>
      <c r="G9" s="116">
        <v>1332.82</v>
      </c>
      <c r="H9" s="51">
        <v>692.3</v>
      </c>
      <c r="I9" s="112">
        <f t="shared" si="0"/>
        <v>5.0000000000011369E-2</v>
      </c>
      <c r="J9" s="116">
        <f t="shared" si="1"/>
        <v>-0.52999999999997272</v>
      </c>
      <c r="K9" s="51">
        <f t="shared" si="2"/>
        <v>1.6700000000000728</v>
      </c>
      <c r="L9" s="133">
        <f t="shared" si="3"/>
        <v>1624.7128757414339</v>
      </c>
      <c r="M9" s="133">
        <f t="shared" si="4"/>
        <v>0</v>
      </c>
      <c r="N9" s="133">
        <f t="shared" si="5"/>
        <v>0</v>
      </c>
      <c r="O9" s="40" t="s">
        <v>160</v>
      </c>
      <c r="P9" s="57">
        <f t="array" ref="P9">AVERAGE(ABS(I7:I12))</f>
        <v>9.3333333333324234E-2</v>
      </c>
      <c r="Q9" s="57">
        <f t="array" ref="Q9">AVERAGE(ABS(J7:J12))</f>
        <v>0.38333333333333047</v>
      </c>
      <c r="R9" s="57">
        <f t="array" ref="R9">AVERAGE(ABS(K7:K12))</f>
        <v>0.83333333333334048</v>
      </c>
      <c r="S9" s="57"/>
      <c r="T9" t="str">
        <f>A20</f>
        <v>Kinematische Base groß</v>
      </c>
      <c r="U9" s="57">
        <f>P20</f>
        <v>1.1120148380305572</v>
      </c>
      <c r="V9" s="57">
        <f>P22</f>
        <v>0.9734474818910468</v>
      </c>
    </row>
    <row r="10" spans="1:22" x14ac:dyDescent="0.25">
      <c r="A10" s="25"/>
      <c r="B10" s="5"/>
      <c r="C10" s="112">
        <v>470.04</v>
      </c>
      <c r="D10" s="116">
        <v>-453.56</v>
      </c>
      <c r="E10" s="51">
        <v>694.21</v>
      </c>
      <c r="F10" s="112">
        <v>470.15</v>
      </c>
      <c r="G10" s="116">
        <v>-453.39</v>
      </c>
      <c r="H10" s="51">
        <v>694.74</v>
      </c>
      <c r="I10" s="112">
        <f t="shared" si="0"/>
        <v>-0.1099999999999568</v>
      </c>
      <c r="J10" s="116">
        <f t="shared" si="1"/>
        <v>-0.17000000000001592</v>
      </c>
      <c r="K10" s="51">
        <f t="shared" si="2"/>
        <v>-0.52999999999997272</v>
      </c>
      <c r="L10" s="133">
        <f t="shared" si="3"/>
        <v>1718.0193292859078</v>
      </c>
      <c r="M10" s="133">
        <f t="shared" si="4"/>
        <v>0</v>
      </c>
      <c r="N10" s="133">
        <f t="shared" si="5"/>
        <v>1</v>
      </c>
      <c r="P10" s="38">
        <f>SQRT(P9^2+Q9^2+R9^2)</f>
        <v>0.92200867674876463</v>
      </c>
      <c r="T10" t="str">
        <f>A26</f>
        <v>Kinematische Base klein</v>
      </c>
      <c r="U10" s="57">
        <f>P26</f>
        <v>0.35371881487997681</v>
      </c>
      <c r="V10" s="57">
        <f>P28</f>
        <v>1.056048715206287</v>
      </c>
    </row>
    <row r="11" spans="1:22" x14ac:dyDescent="0.25">
      <c r="A11" s="25"/>
      <c r="B11" s="5"/>
      <c r="C11" s="112">
        <v>470.2</v>
      </c>
      <c r="D11" s="116">
        <v>-453.43</v>
      </c>
      <c r="E11" s="51">
        <v>260.77</v>
      </c>
      <c r="F11" s="112">
        <v>470.14</v>
      </c>
      <c r="G11" s="116">
        <v>-453.73</v>
      </c>
      <c r="H11" s="51">
        <v>261.19</v>
      </c>
      <c r="I11" s="112">
        <f t="shared" si="0"/>
        <v>6.0000000000002274E-2</v>
      </c>
      <c r="J11" s="116">
        <f t="shared" si="1"/>
        <v>0.30000000000001137</v>
      </c>
      <c r="K11" s="51">
        <f t="shared" si="2"/>
        <v>-0.42000000000001592</v>
      </c>
      <c r="L11" s="133">
        <f t="shared" si="3"/>
        <v>1764.2174376476389</v>
      </c>
      <c r="M11" s="133">
        <f t="shared" si="4"/>
        <v>0</v>
      </c>
      <c r="N11" s="133">
        <f t="shared" si="5"/>
        <v>1</v>
      </c>
      <c r="P11" s="57"/>
      <c r="Q11" s="57"/>
      <c r="R11" s="57"/>
      <c r="S11" s="57"/>
      <c r="T11" t="str">
        <f>A34</f>
        <v>Kinematische Base groß</v>
      </c>
      <c r="U11" s="57">
        <f>P34</f>
        <v>0.55434375616585474</v>
      </c>
      <c r="V11" s="57">
        <f>P36</f>
        <v>1.2137686661798348</v>
      </c>
    </row>
    <row r="12" spans="1:22" ht="15.75" thickBot="1" x14ac:dyDescent="0.3">
      <c r="A12" s="27"/>
      <c r="B12" s="28"/>
      <c r="C12" s="117">
        <v>470.39</v>
      </c>
      <c r="D12" s="118">
        <v>-680.09</v>
      </c>
      <c r="E12" s="55">
        <v>111.58</v>
      </c>
      <c r="F12" s="117">
        <v>470.16</v>
      </c>
      <c r="G12" s="118">
        <v>-680.48</v>
      </c>
      <c r="H12" s="55">
        <v>112.31</v>
      </c>
      <c r="I12" s="117">
        <f t="shared" si="0"/>
        <v>0.22999999999996135</v>
      </c>
      <c r="J12" s="118">
        <f t="shared" si="1"/>
        <v>0.38999999999998636</v>
      </c>
      <c r="K12" s="55">
        <f t="shared" si="2"/>
        <v>-0.73000000000000398</v>
      </c>
      <c r="L12" s="133">
        <f t="shared" si="3"/>
        <v>1933.2033138032846</v>
      </c>
      <c r="M12" s="133">
        <f t="shared" si="4"/>
        <v>0</v>
      </c>
      <c r="N12" s="133">
        <f t="shared" si="5"/>
        <v>1</v>
      </c>
      <c r="T12" t="str">
        <f>A42</f>
        <v>Kinematische Base hinter Roboter</v>
      </c>
      <c r="U12" s="57">
        <f>P42</f>
        <v>1.3152935033672919</v>
      </c>
      <c r="V12" s="57">
        <f>P44</f>
        <v>1.7564587163443857</v>
      </c>
    </row>
    <row r="13" spans="1:22" x14ac:dyDescent="0.25">
      <c r="A13" s="108" t="s">
        <v>43</v>
      </c>
      <c r="B13" s="109">
        <v>0.43124999999999997</v>
      </c>
      <c r="C13" s="113">
        <v>-21.32</v>
      </c>
      <c r="D13" s="114">
        <v>1135.83</v>
      </c>
      <c r="E13" s="115">
        <v>850.35</v>
      </c>
      <c r="F13" s="113">
        <v>-21.1</v>
      </c>
      <c r="G13" s="114">
        <v>1137.07</v>
      </c>
      <c r="H13" s="115">
        <v>848.88</v>
      </c>
      <c r="I13" s="113">
        <f t="shared" si="0"/>
        <v>-0.21999999999999886</v>
      </c>
      <c r="J13" s="114">
        <f t="shared" si="1"/>
        <v>-1.2400000000000091</v>
      </c>
      <c r="K13" s="115">
        <f t="shared" si="2"/>
        <v>1.4700000000000273</v>
      </c>
      <c r="L13" s="133">
        <f t="shared" si="3"/>
        <v>2032.8410658238877</v>
      </c>
      <c r="M13" s="133">
        <f t="shared" si="4"/>
        <v>1</v>
      </c>
      <c r="N13" s="133">
        <f t="shared" si="5"/>
        <v>1</v>
      </c>
      <c r="O13" s="128" t="s">
        <v>158</v>
      </c>
      <c r="P13">
        <v>0.65800000000001546</v>
      </c>
      <c r="Q13">
        <v>-0.61200000000008004</v>
      </c>
      <c r="R13">
        <v>-0.15300000000003422</v>
      </c>
      <c r="T13" t="str">
        <f>A47</f>
        <v>Gute Verteilung</v>
      </c>
      <c r="U13" s="57">
        <f>P48</f>
        <v>0.86920480900656583</v>
      </c>
      <c r="V13" s="57">
        <f>P50</f>
        <v>0.36958685642815442</v>
      </c>
    </row>
    <row r="14" spans="1:22" x14ac:dyDescent="0.25">
      <c r="A14" s="25" t="s">
        <v>355</v>
      </c>
      <c r="B14" s="5"/>
      <c r="C14" s="112">
        <v>759.54</v>
      </c>
      <c r="D14" s="116">
        <v>922.01</v>
      </c>
      <c r="E14" s="51">
        <v>487.27</v>
      </c>
      <c r="F14" s="112">
        <v>759.79</v>
      </c>
      <c r="G14" s="116">
        <v>922.54</v>
      </c>
      <c r="H14" s="51">
        <v>485.74</v>
      </c>
      <c r="I14" s="112">
        <f t="shared" si="0"/>
        <v>-0.25</v>
      </c>
      <c r="J14" s="116">
        <f t="shared" si="1"/>
        <v>-0.52999999999997272</v>
      </c>
      <c r="K14" s="51">
        <f t="shared" si="2"/>
        <v>1.5299999999999727</v>
      </c>
      <c r="L14" s="133">
        <f t="shared" si="3"/>
        <v>1229.3188935748121</v>
      </c>
      <c r="M14" s="133">
        <f t="shared" si="4"/>
        <v>0</v>
      </c>
      <c r="N14" s="133">
        <f t="shared" si="5"/>
        <v>0</v>
      </c>
      <c r="O14" s="40" t="s">
        <v>159</v>
      </c>
      <c r="P14" s="38">
        <v>0.91154648811792849</v>
      </c>
      <c r="T14" t="str">
        <f>A53</f>
        <v>Gute Base</v>
      </c>
      <c r="U14" s="57">
        <f>P54</f>
        <v>0.70958931784527668</v>
      </c>
      <c r="V14" s="57">
        <f>P56</f>
        <v>0.37534058607559206</v>
      </c>
    </row>
    <row r="15" spans="1:22" x14ac:dyDescent="0.25">
      <c r="A15" s="25"/>
      <c r="B15" s="5"/>
      <c r="C15" s="112">
        <v>492.76</v>
      </c>
      <c r="D15" s="116">
        <v>582.03</v>
      </c>
      <c r="E15" s="51">
        <v>297.85000000000002</v>
      </c>
      <c r="F15" s="112">
        <v>492.85</v>
      </c>
      <c r="G15" s="116">
        <v>582.23</v>
      </c>
      <c r="H15" s="51">
        <v>296.89</v>
      </c>
      <c r="I15" s="112">
        <f t="shared" si="0"/>
        <v>-9.0000000000031832E-2</v>
      </c>
      <c r="J15" s="116">
        <f t="shared" si="1"/>
        <v>-0.20000000000004547</v>
      </c>
      <c r="K15" s="51">
        <f t="shared" si="2"/>
        <v>0.96000000000003638</v>
      </c>
      <c r="L15" s="133">
        <f t="shared" si="3"/>
        <v>1456.4142788712284</v>
      </c>
      <c r="M15" s="133">
        <f t="shared" si="4"/>
        <v>0</v>
      </c>
      <c r="N15" s="133">
        <f t="shared" si="5"/>
        <v>0</v>
      </c>
      <c r="O15" s="40" t="s">
        <v>160</v>
      </c>
      <c r="P15" s="57">
        <f t="array" ref="P15">AVERAGE(ABS(I13:I18))</f>
        <v>0.11333333333334632</v>
      </c>
      <c r="Q15" s="57">
        <f t="array" ref="Q15">AVERAGE(ABS(J13:J18))</f>
        <v>0.55500000000000715</v>
      </c>
      <c r="R15" s="57">
        <f t="array" ref="R15">AVERAGE(ABS(K13:K18))</f>
        <v>0.88500000000001933</v>
      </c>
      <c r="S15" s="57"/>
      <c r="T15" t="str">
        <f>A59</f>
        <v>Am Ursprung</v>
      </c>
      <c r="U15" s="57">
        <f>P60</f>
        <v>0.79087103879205356</v>
      </c>
      <c r="V15" s="57">
        <f>P62</f>
        <v>0.21124630174279679</v>
      </c>
    </row>
    <row r="16" spans="1:22" x14ac:dyDescent="0.25">
      <c r="A16" s="25"/>
      <c r="B16" s="5"/>
      <c r="C16" s="112">
        <v>105.51</v>
      </c>
      <c r="D16" s="116">
        <v>9.75</v>
      </c>
      <c r="E16" s="51">
        <v>662.05</v>
      </c>
      <c r="F16" s="112">
        <v>105.47</v>
      </c>
      <c r="G16" s="116">
        <v>10.44</v>
      </c>
      <c r="H16" s="51">
        <v>662.07</v>
      </c>
      <c r="I16" s="112">
        <f t="shared" si="0"/>
        <v>4.0000000000006253E-2</v>
      </c>
      <c r="J16" s="116">
        <f t="shared" si="1"/>
        <v>-0.6899999999999995</v>
      </c>
      <c r="K16" s="51">
        <f t="shared" si="2"/>
        <v>-2.0000000000095497E-2</v>
      </c>
      <c r="L16" s="133">
        <f t="shared" si="3"/>
        <v>1859.7508562708072</v>
      </c>
      <c r="M16" s="133">
        <f t="shared" si="4"/>
        <v>0</v>
      </c>
      <c r="N16" s="133">
        <f t="shared" si="5"/>
        <v>1</v>
      </c>
      <c r="P16" s="38">
        <f>SQRT(P15^2+Q15^2+R15^2)</f>
        <v>1.0507589849458769</v>
      </c>
      <c r="T16" t="str">
        <f>A65</f>
        <v>Hinter Roboter</v>
      </c>
      <c r="U16" s="57">
        <f>P66</f>
        <v>1.6856206572062387</v>
      </c>
      <c r="V16" s="57">
        <f>P68</f>
        <v>0.64970292356495851</v>
      </c>
    </row>
    <row r="17" spans="1:39" x14ac:dyDescent="0.25">
      <c r="A17" s="25"/>
      <c r="B17" s="5"/>
      <c r="C17" s="112">
        <v>841.29</v>
      </c>
      <c r="D17" s="116">
        <v>-143.25</v>
      </c>
      <c r="E17" s="51">
        <v>505.67</v>
      </c>
      <c r="F17" s="112">
        <v>841.33</v>
      </c>
      <c r="G17" s="116">
        <v>-142.81</v>
      </c>
      <c r="H17" s="51">
        <v>505.73</v>
      </c>
      <c r="I17" s="112">
        <f t="shared" si="0"/>
        <v>-4.0000000000077307E-2</v>
      </c>
      <c r="J17" s="116">
        <f t="shared" si="1"/>
        <v>-0.43999999999999773</v>
      </c>
      <c r="K17" s="51">
        <f t="shared" si="2"/>
        <v>-6.0000000000002274E-2</v>
      </c>
      <c r="L17" s="133">
        <f t="shared" si="3"/>
        <v>1247.9460966724484</v>
      </c>
      <c r="M17" s="133">
        <f t="shared" si="4"/>
        <v>0</v>
      </c>
      <c r="N17" s="133">
        <f t="shared" si="5"/>
        <v>0</v>
      </c>
      <c r="T17" t="str">
        <f>A71</f>
        <v>Vor Roboter</v>
      </c>
      <c r="U17" s="57">
        <f>P72</f>
        <v>0.47298731484055656</v>
      </c>
      <c r="V17" s="57">
        <f>P74</f>
        <v>0.37511849979557538</v>
      </c>
    </row>
    <row r="18" spans="1:39" ht="15.75" thickBot="1" x14ac:dyDescent="0.3">
      <c r="A18" s="25"/>
      <c r="B18" s="5"/>
      <c r="C18" s="112">
        <v>684.51</v>
      </c>
      <c r="D18" s="116">
        <v>-817.69</v>
      </c>
      <c r="E18" s="51">
        <v>504.66</v>
      </c>
      <c r="F18" s="112">
        <v>684.47</v>
      </c>
      <c r="G18" s="116">
        <v>-817.46</v>
      </c>
      <c r="H18" s="51">
        <v>505.93</v>
      </c>
      <c r="I18" s="112">
        <f t="shared" si="0"/>
        <v>3.999999999996362E-2</v>
      </c>
      <c r="J18" s="116">
        <f t="shared" si="1"/>
        <v>-0.23000000000001819</v>
      </c>
      <c r="K18" s="51">
        <f t="shared" si="2"/>
        <v>-1.2699999999999818</v>
      </c>
      <c r="L18" s="133">
        <f t="shared" si="3"/>
        <v>1798.4652049177932</v>
      </c>
      <c r="M18" s="133">
        <f t="shared" si="4"/>
        <v>1</v>
      </c>
      <c r="N18" s="133">
        <f t="shared" si="5"/>
        <v>1</v>
      </c>
      <c r="T18" t="str">
        <f>A77</f>
        <v>Referenz-Base</v>
      </c>
      <c r="U18" s="57">
        <f>P78</f>
        <v>0</v>
      </c>
      <c r="V18" s="57">
        <f>P80</f>
        <v>0.60543288611688395</v>
      </c>
    </row>
    <row r="19" spans="1:39" x14ac:dyDescent="0.25">
      <c r="A19" s="21"/>
      <c r="B19" s="109">
        <v>0.46249999999999997</v>
      </c>
      <c r="C19" s="113">
        <v>-15.18</v>
      </c>
      <c r="D19" s="114">
        <v>1137.1500000000001</v>
      </c>
      <c r="E19" s="115">
        <v>535.37</v>
      </c>
      <c r="F19" s="113">
        <v>-15.23</v>
      </c>
      <c r="G19" s="114">
        <v>1137.7</v>
      </c>
      <c r="H19" s="115">
        <v>533.80999999999995</v>
      </c>
      <c r="I19" s="113">
        <f t="shared" si="0"/>
        <v>5.0000000000000711E-2</v>
      </c>
      <c r="J19" s="114">
        <f t="shared" si="1"/>
        <v>-0.54999999999995453</v>
      </c>
      <c r="K19" s="115">
        <f t="shared" si="2"/>
        <v>1.5600000000000591</v>
      </c>
      <c r="L19" s="133">
        <f t="shared" si="3"/>
        <v>2022.9473498091838</v>
      </c>
      <c r="M19" s="133">
        <f t="shared" si="4"/>
        <v>1</v>
      </c>
      <c r="N19" s="133">
        <f t="shared" si="5"/>
        <v>1</v>
      </c>
      <c r="O19" s="128" t="s">
        <v>158</v>
      </c>
      <c r="P19">
        <v>0.71799999999996089</v>
      </c>
      <c r="Q19">
        <v>-0.82200000000011642</v>
      </c>
      <c r="R19">
        <v>-0.21299999999997965</v>
      </c>
    </row>
    <row r="20" spans="1:39" x14ac:dyDescent="0.25">
      <c r="A20" s="25" t="s">
        <v>354</v>
      </c>
      <c r="B20" s="5"/>
      <c r="C20" s="112">
        <v>742.9</v>
      </c>
      <c r="D20" s="116">
        <v>1061.8800000000001</v>
      </c>
      <c r="E20" s="51">
        <v>347.15</v>
      </c>
      <c r="F20" s="112">
        <v>742.9</v>
      </c>
      <c r="G20" s="116">
        <v>1062.22</v>
      </c>
      <c r="H20" s="51">
        <v>345.41</v>
      </c>
      <c r="I20" s="112">
        <f t="shared" si="0"/>
        <v>0</v>
      </c>
      <c r="J20" s="116">
        <f t="shared" si="1"/>
        <v>-0.33999999999991815</v>
      </c>
      <c r="K20" s="51">
        <f t="shared" si="2"/>
        <v>1.7399999999999523</v>
      </c>
      <c r="L20" s="133">
        <f t="shared" si="3"/>
        <v>1325.3945070808163</v>
      </c>
      <c r="M20" s="133">
        <f t="shared" si="4"/>
        <v>0</v>
      </c>
      <c r="N20" s="133">
        <f t="shared" si="5"/>
        <v>0</v>
      </c>
      <c r="O20" s="40" t="s">
        <v>159</v>
      </c>
      <c r="P20" s="38">
        <v>1.1120148380305572</v>
      </c>
      <c r="T20" t="s">
        <v>352</v>
      </c>
      <c r="U20" s="57"/>
      <c r="V20" s="57"/>
    </row>
    <row r="21" spans="1:39" x14ac:dyDescent="0.25">
      <c r="A21" s="25"/>
      <c r="B21" s="5"/>
      <c r="C21" s="112">
        <v>494.11</v>
      </c>
      <c r="D21" s="116">
        <v>527.05999999999995</v>
      </c>
      <c r="E21" s="51">
        <v>584.58000000000004</v>
      </c>
      <c r="F21" s="112">
        <v>494.11</v>
      </c>
      <c r="G21" s="116">
        <v>527.61</v>
      </c>
      <c r="H21" s="51">
        <v>583.64</v>
      </c>
      <c r="I21" s="112">
        <f t="shared" si="0"/>
        <v>0</v>
      </c>
      <c r="J21" s="116">
        <f t="shared" si="1"/>
        <v>-0.55000000000006821</v>
      </c>
      <c r="K21" s="51">
        <f t="shared" si="2"/>
        <v>0.94000000000005457</v>
      </c>
      <c r="L21" s="133">
        <f t="shared" si="3"/>
        <v>1408.3582787771015</v>
      </c>
      <c r="M21" s="133">
        <f t="shared" si="4"/>
        <v>0</v>
      </c>
      <c r="N21" s="133">
        <f t="shared" si="5"/>
        <v>0</v>
      </c>
      <c r="O21" s="40" t="s">
        <v>160</v>
      </c>
      <c r="P21" s="57">
        <f t="array" ref="P21">AVERAGE(ABS(I19:I24))</f>
        <v>2.6666666666676164E-2</v>
      </c>
      <c r="Q21" s="57">
        <f t="array" ref="Q21">AVERAGE(ABS(J19:J24))</f>
        <v>0.35333333333333766</v>
      </c>
      <c r="R21" s="57">
        <f t="array" ref="R21">AVERAGE(ABS(K19:K24))</f>
        <v>0.90666666666667572</v>
      </c>
      <c r="S21" s="57"/>
      <c r="T21" t="str">
        <f>T15</f>
        <v>Am Ursprung</v>
      </c>
      <c r="U21" s="57"/>
      <c r="V21" s="57"/>
    </row>
    <row r="22" spans="1:39" x14ac:dyDescent="0.25">
      <c r="A22" s="25"/>
      <c r="B22" s="5"/>
      <c r="C22" s="112">
        <v>807.49</v>
      </c>
      <c r="D22" s="116">
        <v>-226.24</v>
      </c>
      <c r="E22" s="51">
        <v>592.1</v>
      </c>
      <c r="F22" s="112">
        <v>807.47</v>
      </c>
      <c r="G22" s="116">
        <v>-225.78</v>
      </c>
      <c r="H22" s="51">
        <v>592.26</v>
      </c>
      <c r="I22" s="112">
        <f t="shared" si="0"/>
        <v>1.999999999998181E-2</v>
      </c>
      <c r="J22" s="116">
        <f t="shared" si="1"/>
        <v>-0.46000000000000796</v>
      </c>
      <c r="K22" s="51">
        <f t="shared" si="2"/>
        <v>-0.15999999999996817</v>
      </c>
      <c r="L22" s="133">
        <f t="shared" si="3"/>
        <v>1312.8488387472489</v>
      </c>
      <c r="M22" s="133">
        <f t="shared" si="4"/>
        <v>0</v>
      </c>
      <c r="N22" s="133">
        <f t="shared" si="5"/>
        <v>0</v>
      </c>
      <c r="P22" s="38">
        <f>SQRT(P21^2+Q21^2+R21^2)</f>
        <v>0.9734474818910468</v>
      </c>
      <c r="T22" t="str">
        <f>T13</f>
        <v>Gute Verteilung</v>
      </c>
      <c r="U22" s="57">
        <f t="shared" ref="U22:V22" si="6">U13</f>
        <v>0.86920480900656583</v>
      </c>
      <c r="V22" s="57">
        <f t="shared" si="6"/>
        <v>0.36958685642815442</v>
      </c>
    </row>
    <row r="23" spans="1:39" x14ac:dyDescent="0.25">
      <c r="A23" s="25"/>
      <c r="B23" s="5"/>
      <c r="C23" s="112">
        <v>518.95000000000005</v>
      </c>
      <c r="D23" s="116">
        <v>-670.94</v>
      </c>
      <c r="E23" s="51">
        <v>419.12</v>
      </c>
      <c r="F23" s="112">
        <v>518.91999999999996</v>
      </c>
      <c r="G23" s="116">
        <v>-670.77</v>
      </c>
      <c r="H23" s="51">
        <v>420.11</v>
      </c>
      <c r="I23" s="112">
        <f t="shared" si="0"/>
        <v>3.0000000000086402E-2</v>
      </c>
      <c r="J23" s="116">
        <f t="shared" si="1"/>
        <v>-0.17000000000007276</v>
      </c>
      <c r="K23" s="51">
        <f t="shared" si="2"/>
        <v>-0.99000000000000909</v>
      </c>
      <c r="L23" s="133">
        <f t="shared" si="3"/>
        <v>1825.9754653882947</v>
      </c>
      <c r="M23" s="133">
        <f t="shared" si="4"/>
        <v>0</v>
      </c>
      <c r="N23" s="133">
        <f t="shared" si="5"/>
        <v>1</v>
      </c>
      <c r="T23" t="str">
        <f>T17</f>
        <v>Vor Roboter</v>
      </c>
      <c r="U23" s="57">
        <f t="shared" ref="U23:V23" si="7">U17</f>
        <v>0.47298731484055656</v>
      </c>
      <c r="V23" s="57">
        <f t="shared" si="7"/>
        <v>0.37511849979557538</v>
      </c>
    </row>
    <row r="24" spans="1:39" ht="15.75" thickBot="1" x14ac:dyDescent="0.3">
      <c r="A24" s="27"/>
      <c r="B24" s="110"/>
      <c r="C24" s="117">
        <v>99.71</v>
      </c>
      <c r="D24" s="118">
        <v>-41.94</v>
      </c>
      <c r="E24" s="55">
        <v>229.54</v>
      </c>
      <c r="F24" s="117">
        <v>99.65</v>
      </c>
      <c r="G24" s="118">
        <v>-41.99</v>
      </c>
      <c r="H24" s="55">
        <v>229.59</v>
      </c>
      <c r="I24" s="117">
        <f t="shared" si="0"/>
        <v>5.9999999999988063E-2</v>
      </c>
      <c r="J24" s="118">
        <f t="shared" si="1"/>
        <v>5.0000000000004263E-2</v>
      </c>
      <c r="K24" s="55">
        <f t="shared" si="2"/>
        <v>-5.0000000000011369E-2</v>
      </c>
      <c r="L24" s="133">
        <f t="shared" si="3"/>
        <v>1929.0799234350038</v>
      </c>
      <c r="M24" s="133">
        <f t="shared" si="4"/>
        <v>0</v>
      </c>
      <c r="N24" s="133">
        <f t="shared" si="5"/>
        <v>1</v>
      </c>
      <c r="T24" t="str">
        <f>T14</f>
        <v>Gute Base</v>
      </c>
      <c r="U24" s="57">
        <f t="shared" ref="U24:V24" si="8">U14</f>
        <v>0.70958931784527668</v>
      </c>
      <c r="V24" s="57">
        <f t="shared" si="8"/>
        <v>0.37534058607559206</v>
      </c>
    </row>
    <row r="25" spans="1:39" x14ac:dyDescent="0.25">
      <c r="A25" s="108" t="s">
        <v>44</v>
      </c>
      <c r="B25" s="109">
        <v>0.60555555555555551</v>
      </c>
      <c r="C25" s="113">
        <v>771.6</v>
      </c>
      <c r="D25" s="114">
        <v>-271.52</v>
      </c>
      <c r="E25" s="115">
        <v>553.97</v>
      </c>
      <c r="F25" s="113">
        <v>771.11</v>
      </c>
      <c r="G25" s="114">
        <v>-272.27999999999997</v>
      </c>
      <c r="H25" s="115">
        <v>554.29999999999995</v>
      </c>
      <c r="I25" s="113">
        <f t="shared" si="0"/>
        <v>0.49000000000000909</v>
      </c>
      <c r="J25" s="114">
        <f t="shared" si="1"/>
        <v>0.75999999999999091</v>
      </c>
      <c r="K25" s="115">
        <f t="shared" si="2"/>
        <v>-0.32999999999992724</v>
      </c>
      <c r="L25" s="133">
        <f t="shared" si="3"/>
        <v>1370.3538202230839</v>
      </c>
      <c r="M25" s="133">
        <f t="shared" si="4"/>
        <v>0</v>
      </c>
      <c r="N25" s="133">
        <f t="shared" si="5"/>
        <v>0</v>
      </c>
      <c r="O25" s="128" t="s">
        <v>158</v>
      </c>
      <c r="P25">
        <v>0.17799999999999727</v>
      </c>
      <c r="Q25">
        <v>-0.25200000000018008</v>
      </c>
      <c r="R25">
        <v>-0.17300000000001603</v>
      </c>
      <c r="T25" t="str">
        <f>T18</f>
        <v>Referenz-Base</v>
      </c>
      <c r="U25" s="57">
        <f t="shared" ref="U25:V25" si="9">U18</f>
        <v>0</v>
      </c>
      <c r="V25" s="57">
        <f t="shared" si="9"/>
        <v>0.60543288611688395</v>
      </c>
      <c r="AM25" t="s">
        <v>162</v>
      </c>
    </row>
    <row r="26" spans="1:39" x14ac:dyDescent="0.25">
      <c r="A26" s="25" t="s">
        <v>355</v>
      </c>
      <c r="B26" s="5"/>
      <c r="C26" s="112">
        <v>424.14</v>
      </c>
      <c r="D26" s="116">
        <v>-271.56</v>
      </c>
      <c r="E26" s="51">
        <v>171.61</v>
      </c>
      <c r="F26" s="112">
        <v>423.8</v>
      </c>
      <c r="G26" s="116">
        <v>-271.88</v>
      </c>
      <c r="H26" s="51">
        <v>171.76</v>
      </c>
      <c r="I26" s="112">
        <f t="shared" si="0"/>
        <v>0.33999999999997499</v>
      </c>
      <c r="J26" s="116">
        <f t="shared" si="1"/>
        <v>0.31999999999999318</v>
      </c>
      <c r="K26" s="51">
        <f t="shared" si="2"/>
        <v>-0.14999999999997726</v>
      </c>
      <c r="L26" s="133">
        <f t="shared" si="3"/>
        <v>1735.8039087984566</v>
      </c>
      <c r="M26" s="133">
        <f t="shared" si="4"/>
        <v>0</v>
      </c>
      <c r="N26" s="133">
        <f t="shared" si="5"/>
        <v>1</v>
      </c>
      <c r="O26" s="40" t="s">
        <v>159</v>
      </c>
      <c r="P26" s="38">
        <v>0.35371881487997681</v>
      </c>
      <c r="T26" t="str">
        <f>T16</f>
        <v>Hinter Roboter</v>
      </c>
      <c r="U26" s="57">
        <f t="shared" ref="U26:V26" si="10">U16</f>
        <v>1.6856206572062387</v>
      </c>
      <c r="V26" s="57">
        <f t="shared" si="10"/>
        <v>0.64970292356495851</v>
      </c>
    </row>
    <row r="27" spans="1:39" x14ac:dyDescent="0.25">
      <c r="A27" s="25"/>
      <c r="B27" s="5"/>
      <c r="C27" s="112">
        <v>423.74</v>
      </c>
      <c r="D27" s="116">
        <v>430.82</v>
      </c>
      <c r="E27" s="51">
        <v>530.57000000000005</v>
      </c>
      <c r="F27" s="112">
        <v>423.27</v>
      </c>
      <c r="G27" s="116">
        <v>430.25</v>
      </c>
      <c r="H27" s="51">
        <v>531.45000000000005</v>
      </c>
      <c r="I27" s="112">
        <f t="shared" si="0"/>
        <v>0.47000000000002728</v>
      </c>
      <c r="J27" s="116">
        <f t="shared" si="1"/>
        <v>0.56999999999999318</v>
      </c>
      <c r="K27" s="51">
        <f t="shared" si="2"/>
        <v>-0.87999999999999545</v>
      </c>
      <c r="L27" s="133">
        <f t="shared" si="3"/>
        <v>1483.7428672785593</v>
      </c>
      <c r="M27" s="133">
        <f t="shared" si="4"/>
        <v>0</v>
      </c>
      <c r="N27" s="133">
        <f t="shared" si="5"/>
        <v>0</v>
      </c>
      <c r="O27" s="40" t="s">
        <v>160</v>
      </c>
      <c r="P27" s="57">
        <f t="array" ref="P27">AVERAGE(ABS(I25:I30))</f>
        <v>0.43500000000000699</v>
      </c>
      <c r="Q27" s="57">
        <f t="array" ref="Q27">AVERAGE(ABS(J25:J30))</f>
        <v>0.43833333333332308</v>
      </c>
      <c r="R27" s="57">
        <f t="array" ref="R27">AVERAGE(ABS(K25:K30))</f>
        <v>0.85666666666664548</v>
      </c>
      <c r="S27" s="57"/>
      <c r="U27" s="57"/>
      <c r="V27" s="57"/>
    </row>
    <row r="28" spans="1:39" x14ac:dyDescent="0.25">
      <c r="A28" s="25"/>
      <c r="B28" s="5"/>
      <c r="C28" s="112">
        <v>745.55</v>
      </c>
      <c r="D28" s="116">
        <v>333.06</v>
      </c>
      <c r="E28" s="51">
        <v>623.17999999999995</v>
      </c>
      <c r="F28" s="112">
        <v>744.88</v>
      </c>
      <c r="G28" s="116">
        <v>332.64</v>
      </c>
      <c r="H28" s="51">
        <v>624.15</v>
      </c>
      <c r="I28" s="112">
        <f t="shared" si="0"/>
        <v>0.66999999999995907</v>
      </c>
      <c r="J28" s="116">
        <f t="shared" si="1"/>
        <v>0.42000000000001592</v>
      </c>
      <c r="K28" s="51">
        <f t="shared" si="2"/>
        <v>-0.97000000000002728</v>
      </c>
      <c r="L28" s="133">
        <f t="shared" si="3"/>
        <v>1166.8677408344101</v>
      </c>
      <c r="M28" s="133">
        <f t="shared" si="4"/>
        <v>0</v>
      </c>
      <c r="N28" s="133">
        <f t="shared" si="5"/>
        <v>0</v>
      </c>
      <c r="P28" s="38">
        <f>SQRT(P27^2+Q27^2+R27^2)</f>
        <v>1.056048715206287</v>
      </c>
    </row>
    <row r="29" spans="1:39" x14ac:dyDescent="0.25">
      <c r="A29" s="25"/>
      <c r="B29" s="5"/>
      <c r="C29" s="112">
        <v>654.70000000000005</v>
      </c>
      <c r="D29" s="116">
        <v>870.68</v>
      </c>
      <c r="E29" s="51">
        <v>502.63</v>
      </c>
      <c r="F29" s="112">
        <v>654.4</v>
      </c>
      <c r="G29" s="116">
        <v>870.25</v>
      </c>
      <c r="H29" s="51">
        <v>504.15</v>
      </c>
      <c r="I29" s="112">
        <f t="shared" si="0"/>
        <v>0.30000000000006821</v>
      </c>
      <c r="J29" s="116">
        <f t="shared" si="1"/>
        <v>0.42999999999994998</v>
      </c>
      <c r="K29" s="51">
        <f t="shared" si="2"/>
        <v>-1.5199999999999818</v>
      </c>
      <c r="L29" s="133">
        <f t="shared" si="3"/>
        <v>1309.6883740035262</v>
      </c>
      <c r="M29" s="133">
        <f t="shared" si="4"/>
        <v>0</v>
      </c>
      <c r="N29" s="133">
        <f t="shared" si="5"/>
        <v>0</v>
      </c>
      <c r="U29" s="57"/>
      <c r="V29" s="57"/>
    </row>
    <row r="30" spans="1:39" x14ac:dyDescent="0.25">
      <c r="A30" s="25"/>
      <c r="B30" s="5"/>
      <c r="C30" s="112">
        <v>150.9</v>
      </c>
      <c r="D30" s="116">
        <v>918.63</v>
      </c>
      <c r="E30" s="51">
        <v>379.23</v>
      </c>
      <c r="F30" s="112">
        <v>150.56</v>
      </c>
      <c r="G30" s="116">
        <v>918.5</v>
      </c>
      <c r="H30" s="51">
        <v>380.52</v>
      </c>
      <c r="I30" s="112">
        <f t="shared" si="0"/>
        <v>0.34000000000000341</v>
      </c>
      <c r="J30" s="116">
        <f t="shared" si="1"/>
        <v>0.12999999999999545</v>
      </c>
      <c r="K30" s="51">
        <f t="shared" si="2"/>
        <v>-1.2899999999999636</v>
      </c>
      <c r="L30" s="133">
        <f t="shared" si="3"/>
        <v>1821.2181216153106</v>
      </c>
      <c r="M30" s="133">
        <f t="shared" si="4"/>
        <v>1</v>
      </c>
      <c r="N30" s="133">
        <f t="shared" si="5"/>
        <v>1</v>
      </c>
      <c r="U30" s="57"/>
      <c r="V30" s="190" t="s">
        <v>348</v>
      </c>
    </row>
    <row r="31" spans="1:39" x14ac:dyDescent="0.25">
      <c r="A31" s="25"/>
      <c r="B31" s="5"/>
      <c r="C31" s="112">
        <v>721.35</v>
      </c>
      <c r="D31" s="116">
        <v>-710.48</v>
      </c>
      <c r="E31" s="51">
        <v>641.21</v>
      </c>
      <c r="F31" s="112">
        <v>720.48</v>
      </c>
      <c r="G31" s="116">
        <v>-711.18</v>
      </c>
      <c r="H31" s="51">
        <v>641.13</v>
      </c>
      <c r="I31" s="112">
        <f t="shared" si="0"/>
        <v>0.87000000000000455</v>
      </c>
      <c r="J31" s="116">
        <f t="shared" si="1"/>
        <v>0.69999999999993179</v>
      </c>
      <c r="K31" s="51">
        <f t="shared" si="2"/>
        <v>8.0000000000040927E-2</v>
      </c>
      <c r="L31" s="133">
        <f t="shared" si="3"/>
        <v>1688.4198474017062</v>
      </c>
      <c r="M31" s="133">
        <f t="shared" si="4"/>
        <v>0</v>
      </c>
      <c r="N31" s="133">
        <f t="shared" si="5"/>
        <v>0</v>
      </c>
    </row>
    <row r="32" spans="1:39" ht="16.5" thickBot="1" x14ac:dyDescent="0.3">
      <c r="A32" s="27"/>
      <c r="B32" s="28"/>
      <c r="C32" s="117">
        <v>1467.66</v>
      </c>
      <c r="D32" s="118">
        <v>-713.13</v>
      </c>
      <c r="E32" s="55">
        <v>523.33000000000004</v>
      </c>
      <c r="F32" s="117">
        <v>1467.02</v>
      </c>
      <c r="G32" s="118">
        <v>-713.87</v>
      </c>
      <c r="H32" s="55">
        <v>523.94000000000005</v>
      </c>
      <c r="I32" s="117">
        <f t="shared" si="0"/>
        <v>0.64000000000010004</v>
      </c>
      <c r="J32" s="118">
        <f t="shared" si="1"/>
        <v>0.74000000000000909</v>
      </c>
      <c r="K32" s="55">
        <f t="shared" si="2"/>
        <v>-0.61000000000001364</v>
      </c>
      <c r="L32" s="133">
        <f t="shared" si="3"/>
        <v>1293.9115790887722</v>
      </c>
      <c r="M32" s="133">
        <f t="shared" si="4"/>
        <v>0</v>
      </c>
      <c r="N32" s="133">
        <f t="shared" si="5"/>
        <v>0</v>
      </c>
      <c r="U32" s="57"/>
      <c r="V32" s="57"/>
      <c r="X32" s="189"/>
    </row>
    <row r="33" spans="1:25" ht="15.75" x14ac:dyDescent="0.25">
      <c r="A33" s="21"/>
      <c r="B33" s="109">
        <v>0.61319444444444449</v>
      </c>
      <c r="C33" s="113">
        <v>1794.34</v>
      </c>
      <c r="D33" s="114">
        <v>-840.95</v>
      </c>
      <c r="E33" s="115">
        <v>563.33000000000004</v>
      </c>
      <c r="F33" s="113">
        <v>1793.77</v>
      </c>
      <c r="G33" s="114">
        <v>-841.84</v>
      </c>
      <c r="H33" s="115">
        <v>564.1</v>
      </c>
      <c r="I33" s="113">
        <f t="shared" si="0"/>
        <v>0.56999999999993634</v>
      </c>
      <c r="J33" s="114">
        <f t="shared" si="1"/>
        <v>0.88999999999998636</v>
      </c>
      <c r="K33" s="115">
        <f t="shared" si="2"/>
        <v>-0.76999999999998181</v>
      </c>
      <c r="L33" s="133">
        <f t="shared" si="3"/>
        <v>1347.1744542189033</v>
      </c>
      <c r="M33" s="133">
        <f t="shared" si="4"/>
        <v>0</v>
      </c>
      <c r="N33" s="133">
        <f t="shared" si="5"/>
        <v>0</v>
      </c>
      <c r="O33" s="128" t="s">
        <v>158</v>
      </c>
      <c r="P33">
        <v>0.37800000000004275</v>
      </c>
      <c r="Q33">
        <v>-0.40200000000004366</v>
      </c>
      <c r="R33">
        <v>-5.3000000000011482E-2</v>
      </c>
      <c r="U33" s="57"/>
      <c r="V33" s="57"/>
      <c r="X33" s="189"/>
    </row>
    <row r="34" spans="1:25" x14ac:dyDescent="0.25">
      <c r="A34" s="25" t="s">
        <v>354</v>
      </c>
      <c r="B34" s="5"/>
      <c r="C34" s="112">
        <v>723.61</v>
      </c>
      <c r="D34" s="116">
        <v>1009.41</v>
      </c>
      <c r="E34" s="51">
        <v>439.3</v>
      </c>
      <c r="F34" s="112">
        <v>723.24</v>
      </c>
      <c r="G34" s="116">
        <v>1009.35</v>
      </c>
      <c r="H34" s="51">
        <v>441.19</v>
      </c>
      <c r="I34" s="112">
        <f t="shared" si="0"/>
        <v>0.37000000000000455</v>
      </c>
      <c r="J34" s="116">
        <f t="shared" si="1"/>
        <v>5.999999999994543E-2</v>
      </c>
      <c r="K34" s="51">
        <f t="shared" si="2"/>
        <v>-1.8899999999999864</v>
      </c>
      <c r="L34" s="133">
        <f t="shared" si="3"/>
        <v>1302.0797422969147</v>
      </c>
      <c r="M34" s="133">
        <f t="shared" si="4"/>
        <v>0</v>
      </c>
      <c r="N34" s="133">
        <f t="shared" si="5"/>
        <v>0</v>
      </c>
      <c r="O34" s="40" t="s">
        <v>159</v>
      </c>
      <c r="P34" s="38">
        <v>0.55434375616585474</v>
      </c>
    </row>
    <row r="35" spans="1:25" x14ac:dyDescent="0.25">
      <c r="A35" s="25"/>
      <c r="B35" s="5"/>
      <c r="C35" s="112">
        <v>769.24</v>
      </c>
      <c r="D35" s="116">
        <v>-107.16</v>
      </c>
      <c r="E35" s="51">
        <v>442.64</v>
      </c>
      <c r="F35" s="112">
        <v>768.61</v>
      </c>
      <c r="G35" s="116">
        <v>-107.5</v>
      </c>
      <c r="H35" s="51">
        <v>443.23</v>
      </c>
      <c r="I35" s="112">
        <f t="shared" si="0"/>
        <v>0.62999999999999545</v>
      </c>
      <c r="J35" s="116">
        <f t="shared" si="1"/>
        <v>0.34000000000000341</v>
      </c>
      <c r="K35" s="51">
        <f t="shared" si="2"/>
        <v>-0.59000000000003183</v>
      </c>
      <c r="L35" s="133">
        <f t="shared" si="3"/>
        <v>1301.5465986663712</v>
      </c>
      <c r="M35" s="133">
        <f t="shared" si="4"/>
        <v>0</v>
      </c>
      <c r="N35" s="133">
        <f t="shared" si="5"/>
        <v>0</v>
      </c>
      <c r="O35" s="40" t="s">
        <v>160</v>
      </c>
      <c r="P35" s="57">
        <f t="array" ref="P35">AVERAGE(ABS(I33:I40))</f>
        <v>0.49250000000000593</v>
      </c>
      <c r="Q35" s="57">
        <f t="array" ref="Q35">AVERAGE(ABS(J33:J40))</f>
        <v>0.33124999999998828</v>
      </c>
      <c r="R35" s="57">
        <f t="array" ref="R35">AVERAGE(ABS(K33:K40))</f>
        <v>1.0587499999999892</v>
      </c>
      <c r="S35" s="57"/>
      <c r="U35" s="57"/>
      <c r="V35" s="57"/>
    </row>
    <row r="36" spans="1:25" x14ac:dyDescent="0.25">
      <c r="A36" s="25"/>
      <c r="B36" s="5"/>
      <c r="C36" s="112">
        <v>215.69</v>
      </c>
      <c r="D36" s="116">
        <v>74.75</v>
      </c>
      <c r="E36" s="51">
        <v>252.43</v>
      </c>
      <c r="F36" s="112">
        <v>215.27</v>
      </c>
      <c r="G36" s="116">
        <v>74.67</v>
      </c>
      <c r="H36" s="51">
        <v>252.69</v>
      </c>
      <c r="I36" s="112">
        <f t="shared" si="0"/>
        <v>0.41999999999998749</v>
      </c>
      <c r="J36" s="116">
        <f t="shared" si="1"/>
        <v>7.9999999999998295E-2</v>
      </c>
      <c r="K36" s="51">
        <f t="shared" si="2"/>
        <v>-0.25999999999999091</v>
      </c>
      <c r="L36" s="133">
        <f t="shared" si="3"/>
        <v>1784.766718257599</v>
      </c>
      <c r="M36" s="133">
        <f t="shared" si="4"/>
        <v>0</v>
      </c>
      <c r="N36" s="133">
        <f t="shared" si="5"/>
        <v>1</v>
      </c>
      <c r="P36" s="38">
        <f>SQRT(P35^2+Q35^2+R35^2)</f>
        <v>1.2137686661798348</v>
      </c>
      <c r="U36" s="57"/>
      <c r="V36" s="57"/>
    </row>
    <row r="37" spans="1:25" x14ac:dyDescent="0.25">
      <c r="A37" s="25"/>
      <c r="B37" s="5"/>
      <c r="C37" s="112">
        <v>366.68</v>
      </c>
      <c r="D37" s="116">
        <v>448.29</v>
      </c>
      <c r="E37" s="51">
        <v>458.72</v>
      </c>
      <c r="F37" s="112">
        <v>366.19</v>
      </c>
      <c r="G37" s="116">
        <v>447.89</v>
      </c>
      <c r="H37" s="51">
        <v>459.56</v>
      </c>
      <c r="I37" s="112">
        <f t="shared" si="0"/>
        <v>0.49000000000000909</v>
      </c>
      <c r="J37" s="116">
        <f t="shared" si="1"/>
        <v>0.40000000000003411</v>
      </c>
      <c r="K37" s="51">
        <f t="shared" si="2"/>
        <v>-0.83999999999997499</v>
      </c>
      <c r="L37" s="133">
        <f t="shared" si="3"/>
        <v>1547.7334568975368</v>
      </c>
      <c r="M37" s="133">
        <f t="shared" si="4"/>
        <v>0</v>
      </c>
      <c r="N37" s="133">
        <f t="shared" si="5"/>
        <v>0</v>
      </c>
    </row>
    <row r="38" spans="1:25" x14ac:dyDescent="0.25">
      <c r="A38" s="25"/>
      <c r="B38" s="111"/>
      <c r="C38" s="112">
        <v>811</v>
      </c>
      <c r="D38" s="116">
        <v>779.16</v>
      </c>
      <c r="E38" s="51">
        <v>488.22</v>
      </c>
      <c r="F38" s="112">
        <v>810.56</v>
      </c>
      <c r="G38" s="116">
        <v>778.79</v>
      </c>
      <c r="H38" s="51">
        <v>489.8</v>
      </c>
      <c r="I38" s="112">
        <f t="shared" si="0"/>
        <v>0.44000000000005457</v>
      </c>
      <c r="J38" s="116">
        <f t="shared" si="1"/>
        <v>0.37000000000000455</v>
      </c>
      <c r="K38" s="51">
        <f t="shared" si="2"/>
        <v>-1.5799999999999841</v>
      </c>
      <c r="L38" s="133">
        <f t="shared" si="3"/>
        <v>1138.2106490891745</v>
      </c>
      <c r="M38" s="133">
        <f t="shared" si="4"/>
        <v>0</v>
      </c>
      <c r="N38" s="133">
        <f t="shared" si="5"/>
        <v>0</v>
      </c>
      <c r="U38" s="57"/>
      <c r="V38" s="57"/>
      <c r="Y38" s="57"/>
    </row>
    <row r="39" spans="1:25" x14ac:dyDescent="0.25">
      <c r="A39" s="25"/>
      <c r="B39" s="5"/>
      <c r="C39" s="112">
        <v>822.87</v>
      </c>
      <c r="D39" s="116">
        <v>467.12</v>
      </c>
      <c r="E39" s="51">
        <v>574.25</v>
      </c>
      <c r="F39" s="112">
        <v>822.31</v>
      </c>
      <c r="G39" s="116">
        <v>466.7</v>
      </c>
      <c r="H39" s="51">
        <v>575.41999999999996</v>
      </c>
      <c r="I39" s="112">
        <f t="shared" si="0"/>
        <v>0.56000000000005912</v>
      </c>
      <c r="J39" s="116">
        <f t="shared" si="1"/>
        <v>0.42000000000001592</v>
      </c>
      <c r="K39" s="51">
        <f t="shared" si="2"/>
        <v>-1.1699999999999591</v>
      </c>
      <c r="L39" s="133">
        <f t="shared" si="3"/>
        <v>1081.2428672134674</v>
      </c>
      <c r="M39" s="133">
        <f t="shared" si="4"/>
        <v>0</v>
      </c>
      <c r="N39" s="133">
        <f t="shared" si="5"/>
        <v>0</v>
      </c>
      <c r="U39" s="57"/>
      <c r="V39" s="57"/>
      <c r="Y39" s="57"/>
    </row>
    <row r="40" spans="1:25" ht="15.75" thickBot="1" x14ac:dyDescent="0.3">
      <c r="A40" s="27"/>
      <c r="B40" s="28"/>
      <c r="C40" s="117">
        <v>-20.23</v>
      </c>
      <c r="D40" s="118">
        <v>1015.33</v>
      </c>
      <c r="E40" s="55">
        <v>482.5</v>
      </c>
      <c r="F40" s="117">
        <v>-20.69</v>
      </c>
      <c r="G40" s="118">
        <v>1015.42</v>
      </c>
      <c r="H40" s="55">
        <v>483.87</v>
      </c>
      <c r="I40" s="117">
        <f t="shared" si="0"/>
        <v>0.46000000000000085</v>
      </c>
      <c r="J40" s="118">
        <f t="shared" si="1"/>
        <v>-8.9999999999918145E-2</v>
      </c>
      <c r="K40" s="55">
        <f t="shared" si="2"/>
        <v>-1.3700000000000045</v>
      </c>
      <c r="L40" s="133">
        <f t="shared" si="3"/>
        <v>1996.8127638063615</v>
      </c>
      <c r="M40" s="133">
        <f t="shared" si="4"/>
        <v>1</v>
      </c>
      <c r="N40" s="133">
        <f t="shared" si="5"/>
        <v>1</v>
      </c>
      <c r="Y40" s="57"/>
    </row>
    <row r="41" spans="1:25" x14ac:dyDescent="0.25">
      <c r="A41" s="108" t="s">
        <v>53</v>
      </c>
      <c r="B41" s="109">
        <v>0.56874999999999998</v>
      </c>
      <c r="C41" s="113">
        <v>595.04999999999995</v>
      </c>
      <c r="D41" s="114">
        <v>669.28</v>
      </c>
      <c r="E41" s="115">
        <v>988.4</v>
      </c>
      <c r="F41" s="113">
        <v>594.05999999999995</v>
      </c>
      <c r="G41" s="114">
        <v>668.13</v>
      </c>
      <c r="H41" s="115">
        <v>989.84</v>
      </c>
      <c r="I41" s="113">
        <f t="shared" si="0"/>
        <v>0.99000000000000909</v>
      </c>
      <c r="J41" s="114">
        <f t="shared" si="1"/>
        <v>1.1499999999999773</v>
      </c>
      <c r="K41" s="115">
        <f t="shared" si="2"/>
        <v>-1.4400000000000546</v>
      </c>
      <c r="L41" s="133">
        <f t="shared" si="3"/>
        <v>1355.4637152650012</v>
      </c>
      <c r="M41" s="133">
        <f t="shared" si="4"/>
        <v>0</v>
      </c>
      <c r="N41" s="133">
        <f t="shared" si="5"/>
        <v>0</v>
      </c>
      <c r="O41" s="128" t="s">
        <v>158</v>
      </c>
      <c r="P41">
        <v>0.38800000000003365</v>
      </c>
      <c r="Q41">
        <v>-0.84200000000009823</v>
      </c>
      <c r="R41">
        <v>-0.93300000000000693</v>
      </c>
      <c r="U41" s="57"/>
      <c r="V41" s="57"/>
      <c r="Y41" s="57"/>
    </row>
    <row r="42" spans="1:25" x14ac:dyDescent="0.25">
      <c r="A42" s="25" t="s">
        <v>361</v>
      </c>
      <c r="B42" s="5"/>
      <c r="C42" s="112">
        <v>210.68</v>
      </c>
      <c r="D42" s="116">
        <v>991.59</v>
      </c>
      <c r="E42" s="51">
        <v>798.82</v>
      </c>
      <c r="F42" s="112">
        <v>209.8</v>
      </c>
      <c r="G42" s="116">
        <v>990.74</v>
      </c>
      <c r="H42" s="51">
        <v>800.21</v>
      </c>
      <c r="I42" s="112">
        <f t="shared" si="0"/>
        <v>0.87999999999999545</v>
      </c>
      <c r="J42" s="116">
        <f t="shared" si="1"/>
        <v>0.85000000000002274</v>
      </c>
      <c r="K42" s="51">
        <f t="shared" si="2"/>
        <v>-1.3899999999999864</v>
      </c>
      <c r="L42" s="133">
        <f t="shared" si="3"/>
        <v>1764.9740251913058</v>
      </c>
      <c r="M42" s="133">
        <f t="shared" si="4"/>
        <v>1</v>
      </c>
      <c r="N42" s="133">
        <f t="shared" si="5"/>
        <v>1</v>
      </c>
      <c r="O42" s="40" t="s">
        <v>159</v>
      </c>
      <c r="P42" s="38">
        <v>1.3152935033672919</v>
      </c>
      <c r="U42" s="57"/>
      <c r="V42" s="57"/>
      <c r="Y42" s="57"/>
    </row>
    <row r="43" spans="1:25" x14ac:dyDescent="0.25">
      <c r="A43" s="25" t="s">
        <v>141</v>
      </c>
      <c r="B43" s="5"/>
      <c r="C43" s="112">
        <v>884.26</v>
      </c>
      <c r="D43" s="116">
        <v>938.94</v>
      </c>
      <c r="E43" s="51">
        <v>971.35</v>
      </c>
      <c r="F43" s="112">
        <v>883.34</v>
      </c>
      <c r="G43" s="116">
        <v>938.83</v>
      </c>
      <c r="H43" s="51">
        <v>973.17</v>
      </c>
      <c r="I43" s="112">
        <f t="shared" si="0"/>
        <v>0.91999999999995907</v>
      </c>
      <c r="J43" s="116">
        <f t="shared" si="1"/>
        <v>0.11000000000001364</v>
      </c>
      <c r="K43" s="51">
        <f t="shared" si="2"/>
        <v>-1.8199999999999363</v>
      </c>
      <c r="L43" s="133">
        <f t="shared" si="3"/>
        <v>1149.0424100963376</v>
      </c>
      <c r="M43" s="133">
        <f t="shared" si="4"/>
        <v>0</v>
      </c>
      <c r="N43" s="133">
        <f t="shared" si="5"/>
        <v>0</v>
      </c>
      <c r="O43" s="40" t="s">
        <v>160</v>
      </c>
      <c r="P43" s="57">
        <f t="array" ref="P43">AVERAGE(ABS(I41:I46))</f>
        <v>0.9866666666666456</v>
      </c>
      <c r="Q43" s="57">
        <f t="array" ref="Q43">AVERAGE(ABS(J41:J46))</f>
        <v>0.88833333333333064</v>
      </c>
      <c r="R43" s="57">
        <f t="array" ref="R43">AVERAGE(ABS(K41:K46))</f>
        <v>1.1499999999999961</v>
      </c>
      <c r="S43" s="57"/>
      <c r="Y43" s="57"/>
    </row>
    <row r="44" spans="1:25" x14ac:dyDescent="0.25">
      <c r="A44" s="25"/>
      <c r="B44" s="5"/>
      <c r="C44" s="112">
        <v>226.42</v>
      </c>
      <c r="D44" s="116">
        <v>148.85</v>
      </c>
      <c r="E44" s="51">
        <v>653.32000000000005</v>
      </c>
      <c r="F44" s="112">
        <v>225.5</v>
      </c>
      <c r="G44" s="116">
        <v>147.97</v>
      </c>
      <c r="H44" s="51">
        <v>653.99</v>
      </c>
      <c r="I44" s="112">
        <f t="shared" si="0"/>
        <v>0.91999999999998749</v>
      </c>
      <c r="J44" s="116">
        <f t="shared" si="1"/>
        <v>0.87999999999999545</v>
      </c>
      <c r="K44" s="51">
        <f t="shared" si="2"/>
        <v>-0.66999999999995907</v>
      </c>
      <c r="L44" s="133">
        <f t="shared" si="3"/>
        <v>1709.6499628871402</v>
      </c>
      <c r="M44" s="133">
        <f t="shared" si="4"/>
        <v>0</v>
      </c>
      <c r="N44" s="133">
        <f t="shared" si="5"/>
        <v>1</v>
      </c>
      <c r="P44" s="38">
        <f>SQRT(P43^2+Q43^2+R43^2)</f>
        <v>1.7564587163443857</v>
      </c>
      <c r="Y44" s="57"/>
    </row>
    <row r="45" spans="1:25" x14ac:dyDescent="0.25">
      <c r="A45" s="25"/>
      <c r="B45" s="5"/>
      <c r="C45" s="112">
        <v>860.98</v>
      </c>
      <c r="D45" s="116">
        <v>179.16</v>
      </c>
      <c r="E45" s="51">
        <v>933.02</v>
      </c>
      <c r="F45" s="112">
        <v>859.98</v>
      </c>
      <c r="G45" s="116">
        <v>177.98</v>
      </c>
      <c r="H45" s="51">
        <v>934.2</v>
      </c>
      <c r="I45" s="112">
        <f t="shared" si="0"/>
        <v>1</v>
      </c>
      <c r="J45" s="116">
        <f t="shared" si="1"/>
        <v>1.1800000000000068</v>
      </c>
      <c r="K45" s="51">
        <f t="shared" si="2"/>
        <v>-1.1800000000000637</v>
      </c>
      <c r="L45" s="133">
        <f t="shared" si="3"/>
        <v>1119.7012743138234</v>
      </c>
      <c r="M45" s="133">
        <f t="shared" si="4"/>
        <v>0</v>
      </c>
      <c r="N45" s="133">
        <f t="shared" si="5"/>
        <v>0</v>
      </c>
      <c r="O45" s="143" t="s">
        <v>345</v>
      </c>
      <c r="U45" s="57"/>
      <c r="V45" s="57"/>
    </row>
    <row r="46" spans="1:25" ht="15.75" thickBot="1" x14ac:dyDescent="0.3">
      <c r="A46" s="27"/>
      <c r="B46" s="28"/>
      <c r="C46" s="117">
        <v>514.04</v>
      </c>
      <c r="D46" s="118">
        <v>-547.26</v>
      </c>
      <c r="E46" s="55">
        <v>932.01</v>
      </c>
      <c r="F46" s="117">
        <v>512.83000000000004</v>
      </c>
      <c r="G46" s="118">
        <v>-548.41999999999996</v>
      </c>
      <c r="H46" s="55">
        <v>932.41</v>
      </c>
      <c r="I46" s="117">
        <f t="shared" si="0"/>
        <v>1.2099999999999227</v>
      </c>
      <c r="J46" s="118">
        <f t="shared" si="1"/>
        <v>1.1599999999999682</v>
      </c>
      <c r="K46" s="55">
        <f t="shared" si="2"/>
        <v>-0.39999999999997726</v>
      </c>
      <c r="L46" s="133">
        <f t="shared" si="3"/>
        <v>1756.6528205083666</v>
      </c>
      <c r="M46" s="133">
        <f t="shared" si="4"/>
        <v>0</v>
      </c>
      <c r="N46" s="133">
        <f t="shared" si="5"/>
        <v>1</v>
      </c>
      <c r="O46" s="143" t="s">
        <v>346</v>
      </c>
      <c r="U46" s="57"/>
      <c r="V46" s="57"/>
    </row>
    <row r="47" spans="1:25" x14ac:dyDescent="0.25">
      <c r="A47" s="21" t="s">
        <v>310</v>
      </c>
      <c r="B47" s="109">
        <v>0.57430555555555551</v>
      </c>
      <c r="C47" s="113">
        <v>512.83000000000004</v>
      </c>
      <c r="D47" s="114">
        <v>-548.37</v>
      </c>
      <c r="E47" s="115">
        <v>932.38</v>
      </c>
      <c r="F47" s="113">
        <v>512.83000000000004</v>
      </c>
      <c r="G47" s="114">
        <v>-548.44000000000005</v>
      </c>
      <c r="H47" s="115">
        <v>932.39</v>
      </c>
      <c r="I47" s="113">
        <f t="shared" si="0"/>
        <v>0</v>
      </c>
      <c r="J47" s="114">
        <f t="shared" si="1"/>
        <v>7.0000000000050022E-2</v>
      </c>
      <c r="K47" s="115">
        <f t="shared" si="2"/>
        <v>-9.9999999999909051E-3</v>
      </c>
      <c r="L47" s="128" t="s">
        <v>372</v>
      </c>
      <c r="M47" s="133">
        <f>SUM(M7:M46)</f>
        <v>6</v>
      </c>
      <c r="N47">
        <f>SUM(N7:N46)</f>
        <v>16</v>
      </c>
      <c r="O47" s="128" t="s">
        <v>158</v>
      </c>
      <c r="P47">
        <v>0.56799999999998363</v>
      </c>
      <c r="Q47">
        <v>-0.5420000000001437</v>
      </c>
      <c r="R47">
        <v>-0.37300000000000466</v>
      </c>
    </row>
    <row r="48" spans="1:25" x14ac:dyDescent="0.25">
      <c r="A48" s="25"/>
      <c r="B48" s="5"/>
      <c r="C48" s="112">
        <v>801.09</v>
      </c>
      <c r="D48" s="116">
        <v>37.72</v>
      </c>
      <c r="E48" s="51">
        <v>881.19</v>
      </c>
      <c r="F48" s="112">
        <v>800.97</v>
      </c>
      <c r="G48" s="116">
        <v>37.61</v>
      </c>
      <c r="H48" s="51">
        <v>880.99</v>
      </c>
      <c r="I48" s="112">
        <f t="shared" si="0"/>
        <v>0.12000000000000455</v>
      </c>
      <c r="J48" s="116">
        <f t="shared" si="1"/>
        <v>0.10999999999999943</v>
      </c>
      <c r="K48" s="51">
        <f t="shared" si="2"/>
        <v>0.20000000000004547</v>
      </c>
      <c r="L48" s="128" t="s">
        <v>371</v>
      </c>
      <c r="M48" s="133">
        <v>17</v>
      </c>
      <c r="O48" s="40" t="s">
        <v>159</v>
      </c>
      <c r="P48" s="38">
        <v>0.86920480900656583</v>
      </c>
    </row>
    <row r="49" spans="1:22" x14ac:dyDescent="0.25">
      <c r="A49" s="25"/>
      <c r="B49" s="5"/>
      <c r="C49" s="112">
        <v>86.19</v>
      </c>
      <c r="D49" s="116">
        <v>13.03</v>
      </c>
      <c r="E49" s="51">
        <v>685.72</v>
      </c>
      <c r="F49" s="112">
        <v>85.97</v>
      </c>
      <c r="G49" s="116">
        <v>12.53</v>
      </c>
      <c r="H49" s="51">
        <v>685.72</v>
      </c>
      <c r="I49" s="112">
        <f t="shared" si="0"/>
        <v>0.21999999999999886</v>
      </c>
      <c r="J49" s="116">
        <f t="shared" si="1"/>
        <v>0.5</v>
      </c>
      <c r="K49" s="51">
        <f t="shared" si="2"/>
        <v>0</v>
      </c>
      <c r="L49" s="128" t="s">
        <v>373</v>
      </c>
      <c r="M49" s="39">
        <f>M47/M48</f>
        <v>0.35294117647058826</v>
      </c>
      <c r="N49" s="116"/>
      <c r="O49" s="40" t="s">
        <v>160</v>
      </c>
      <c r="P49" s="57">
        <f t="array" ref="P49">AVERAGE(ABS(I47:I52))</f>
        <v>0.26333333333333542</v>
      </c>
      <c r="Q49" s="57">
        <f t="array" ref="Q49">AVERAGE(ABS(J47:J52))</f>
        <v>0.14500000000000787</v>
      </c>
      <c r="R49" s="57">
        <f t="array" ref="R49">AVERAGE(ABS(K47:K52))</f>
        <v>0.21499999999999395</v>
      </c>
      <c r="S49" s="57"/>
    </row>
    <row r="50" spans="1:22" x14ac:dyDescent="0.25">
      <c r="A50" s="25"/>
      <c r="B50" s="5"/>
      <c r="C50" s="112">
        <v>129.69</v>
      </c>
      <c r="D50" s="116">
        <v>914.52</v>
      </c>
      <c r="E50" s="51">
        <v>836.23</v>
      </c>
      <c r="F50" s="112">
        <v>129.19</v>
      </c>
      <c r="G50" s="116">
        <v>914.45</v>
      </c>
      <c r="H50" s="51">
        <v>835.97</v>
      </c>
      <c r="I50" s="112">
        <f t="shared" si="0"/>
        <v>0.5</v>
      </c>
      <c r="J50" s="116">
        <f t="shared" si="1"/>
        <v>6.9999999999936335E-2</v>
      </c>
      <c r="K50" s="51">
        <f t="shared" si="2"/>
        <v>0.25999999999999091</v>
      </c>
      <c r="L50" s="116"/>
      <c r="M50" s="133">
        <f>M49*100</f>
        <v>35.294117647058826</v>
      </c>
      <c r="N50" s="133" t="s">
        <v>374</v>
      </c>
      <c r="P50" s="38">
        <f>SQRT(P49^2+Q49^2+R49^2)</f>
        <v>0.36958685642815442</v>
      </c>
      <c r="V50" s="191" t="s">
        <v>349</v>
      </c>
    </row>
    <row r="51" spans="1:22" x14ac:dyDescent="0.25">
      <c r="A51" s="25"/>
      <c r="B51" s="5"/>
      <c r="C51" s="112">
        <v>773.24</v>
      </c>
      <c r="D51" s="116">
        <v>830.55</v>
      </c>
      <c r="E51" s="51">
        <v>905.79</v>
      </c>
      <c r="F51" s="112">
        <v>772.87</v>
      </c>
      <c r="G51" s="116">
        <v>830.66</v>
      </c>
      <c r="H51" s="51">
        <v>905.28</v>
      </c>
      <c r="I51" s="112">
        <f t="shared" si="0"/>
        <v>0.37000000000000455</v>
      </c>
      <c r="J51" s="116">
        <f t="shared" si="1"/>
        <v>-0.11000000000001364</v>
      </c>
      <c r="K51" s="51">
        <f t="shared" si="2"/>
        <v>0.50999999999999091</v>
      </c>
      <c r="L51" s="116"/>
      <c r="M51" s="116"/>
      <c r="N51" s="116"/>
      <c r="U51" t="s">
        <v>414</v>
      </c>
    </row>
    <row r="52" spans="1:22" ht="15.75" thickBot="1" x14ac:dyDescent="0.3">
      <c r="A52" s="27"/>
      <c r="B52" s="28"/>
      <c r="C52" s="117">
        <v>444.99</v>
      </c>
      <c r="D52" s="118">
        <v>499.47</v>
      </c>
      <c r="E52" s="55">
        <v>842.93</v>
      </c>
      <c r="F52" s="117">
        <v>444.62</v>
      </c>
      <c r="G52" s="118">
        <v>499.46</v>
      </c>
      <c r="H52" s="55">
        <v>842.62</v>
      </c>
      <c r="I52" s="117">
        <f t="shared" si="0"/>
        <v>0.37000000000000455</v>
      </c>
      <c r="J52" s="118">
        <f t="shared" si="1"/>
        <v>1.0000000000047748E-2</v>
      </c>
      <c r="K52" s="55">
        <f t="shared" si="2"/>
        <v>0.30999999999994543</v>
      </c>
      <c r="L52" s="116"/>
      <c r="M52" s="116"/>
      <c r="N52" s="116"/>
      <c r="U52" t="s">
        <v>415</v>
      </c>
    </row>
    <row r="53" spans="1:22" x14ac:dyDescent="0.25">
      <c r="A53" s="21" t="s">
        <v>357</v>
      </c>
      <c r="B53" s="109">
        <v>0.57847222222222217</v>
      </c>
      <c r="C53" s="113">
        <v>444.89</v>
      </c>
      <c r="D53" s="114">
        <v>499.41</v>
      </c>
      <c r="E53" s="115">
        <v>842.93</v>
      </c>
      <c r="F53" s="113">
        <v>444.63</v>
      </c>
      <c r="G53" s="114">
        <v>499.46</v>
      </c>
      <c r="H53" s="115">
        <v>842.62</v>
      </c>
      <c r="I53" s="113">
        <f t="shared" si="0"/>
        <v>0.25999999999999091</v>
      </c>
      <c r="J53" s="114">
        <f t="shared" si="1"/>
        <v>-4.9999999999954525E-2</v>
      </c>
      <c r="K53" s="115">
        <f t="shared" si="2"/>
        <v>0.30999999999994543</v>
      </c>
      <c r="L53" s="116"/>
      <c r="M53" s="116"/>
      <c r="N53" s="116"/>
      <c r="O53" s="128" t="s">
        <v>158</v>
      </c>
      <c r="P53">
        <v>0.32799999999997453</v>
      </c>
      <c r="Q53">
        <v>-0.56200000000012551</v>
      </c>
      <c r="R53">
        <v>-0.28300000000000125</v>
      </c>
    </row>
    <row r="54" spans="1:22" x14ac:dyDescent="0.25">
      <c r="A54" s="25"/>
      <c r="B54" s="5"/>
      <c r="C54" s="112">
        <v>43.93</v>
      </c>
      <c r="D54" s="116">
        <v>957.81</v>
      </c>
      <c r="E54" s="51">
        <v>943.45</v>
      </c>
      <c r="F54" s="112">
        <v>43.65</v>
      </c>
      <c r="G54" s="116">
        <v>957.76</v>
      </c>
      <c r="H54" s="51">
        <v>943.12</v>
      </c>
      <c r="I54" s="112">
        <f t="shared" si="0"/>
        <v>0.28000000000000114</v>
      </c>
      <c r="J54" s="116">
        <f t="shared" si="1"/>
        <v>4.9999999999954525E-2</v>
      </c>
      <c r="K54" s="51">
        <f t="shared" si="2"/>
        <v>0.33000000000004093</v>
      </c>
      <c r="L54" s="116"/>
      <c r="M54" s="116"/>
      <c r="N54" s="116"/>
      <c r="O54" s="40" t="s">
        <v>159</v>
      </c>
      <c r="P54" s="38">
        <v>0.70958931784527668</v>
      </c>
    </row>
    <row r="55" spans="1:22" x14ac:dyDescent="0.25">
      <c r="A55" s="25"/>
      <c r="B55" s="5"/>
      <c r="C55" s="112">
        <v>706.95</v>
      </c>
      <c r="D55" s="116">
        <v>892.24</v>
      </c>
      <c r="E55" s="51">
        <v>987.47</v>
      </c>
      <c r="F55" s="112">
        <v>706.76</v>
      </c>
      <c r="G55" s="116">
        <v>892.32</v>
      </c>
      <c r="H55" s="51">
        <v>987.12</v>
      </c>
      <c r="I55" s="112">
        <f t="shared" si="0"/>
        <v>0.19000000000005457</v>
      </c>
      <c r="J55" s="116">
        <f t="shared" si="1"/>
        <v>-8.0000000000040927E-2</v>
      </c>
      <c r="K55" s="51">
        <f t="shared" si="2"/>
        <v>0.35000000000002274</v>
      </c>
      <c r="L55" s="116"/>
      <c r="M55" s="116"/>
      <c r="N55" s="116"/>
      <c r="O55" s="40" t="s">
        <v>160</v>
      </c>
      <c r="P55" s="57">
        <f t="array" ref="P55">AVERAGE(ABS(I53:I58))</f>
        <v>0.25333333333336111</v>
      </c>
      <c r="Q55" s="57">
        <f t="array" ref="Q55">AVERAGE(ABS(J53:J58))</f>
        <v>6.1666666666657953E-2</v>
      </c>
      <c r="R55" s="57">
        <f t="array" ref="R55">AVERAGE(ABS(K53:K58))</f>
        <v>0.27000000000000074</v>
      </c>
      <c r="S55" s="57"/>
    </row>
    <row r="56" spans="1:22" x14ac:dyDescent="0.25">
      <c r="A56" s="25"/>
      <c r="B56" s="5"/>
      <c r="C56" s="112">
        <v>727.88</v>
      </c>
      <c r="D56" s="116">
        <v>180.04</v>
      </c>
      <c r="E56" s="51">
        <v>889.92</v>
      </c>
      <c r="F56" s="112">
        <v>727.68</v>
      </c>
      <c r="G56" s="116">
        <v>179.88</v>
      </c>
      <c r="H56" s="51">
        <v>889.71</v>
      </c>
      <c r="I56" s="112">
        <f t="shared" si="0"/>
        <v>0.20000000000004547</v>
      </c>
      <c r="J56" s="116">
        <f t="shared" si="1"/>
        <v>0.15999999999999659</v>
      </c>
      <c r="K56" s="51">
        <f t="shared" si="2"/>
        <v>0.20999999999992269</v>
      </c>
      <c r="L56" s="116"/>
      <c r="M56" s="116"/>
      <c r="N56" s="116"/>
      <c r="P56" s="38">
        <f>SQRT(P55^2+Q55^2+R55^2)</f>
        <v>0.37534058607559206</v>
      </c>
    </row>
    <row r="57" spans="1:22" x14ac:dyDescent="0.25">
      <c r="A57" s="25"/>
      <c r="B57" s="5"/>
      <c r="C57" s="112">
        <v>94</v>
      </c>
      <c r="D57" s="116">
        <v>231.95</v>
      </c>
      <c r="E57" s="51">
        <v>712.98</v>
      </c>
      <c r="F57" s="112">
        <v>93.7</v>
      </c>
      <c r="G57" s="116">
        <v>231.96</v>
      </c>
      <c r="H57" s="51">
        <v>712.68</v>
      </c>
      <c r="I57" s="112">
        <f t="shared" si="0"/>
        <v>0.29999999999999716</v>
      </c>
      <c r="J57" s="116">
        <f t="shared" si="1"/>
        <v>-1.0000000000019327E-2</v>
      </c>
      <c r="K57" s="51">
        <f t="shared" si="2"/>
        <v>0.30000000000006821</v>
      </c>
      <c r="L57" s="116"/>
      <c r="M57" s="116"/>
      <c r="N57" s="116"/>
    </row>
    <row r="58" spans="1:22" ht="15.75" thickBot="1" x14ac:dyDescent="0.3">
      <c r="A58" s="27"/>
      <c r="B58" s="28"/>
      <c r="C58" s="117">
        <v>562.70000000000005</v>
      </c>
      <c r="D58" s="118">
        <v>-545.78</v>
      </c>
      <c r="E58" s="55">
        <v>942.63</v>
      </c>
      <c r="F58" s="117">
        <v>562.41</v>
      </c>
      <c r="G58" s="118">
        <v>-545.76</v>
      </c>
      <c r="H58" s="55">
        <v>942.51</v>
      </c>
      <c r="I58" s="117">
        <f t="shared" si="0"/>
        <v>0.29000000000007731</v>
      </c>
      <c r="J58" s="118">
        <f t="shared" si="1"/>
        <v>-1.999999999998181E-2</v>
      </c>
      <c r="K58" s="55">
        <f t="shared" si="2"/>
        <v>0.12000000000000455</v>
      </c>
      <c r="L58" s="116"/>
      <c r="M58" s="116"/>
      <c r="N58" s="116"/>
    </row>
    <row r="59" spans="1:22" x14ac:dyDescent="0.25">
      <c r="A59" s="21" t="s">
        <v>358</v>
      </c>
      <c r="B59" s="109">
        <v>0.58402777777777781</v>
      </c>
      <c r="C59" s="113">
        <v>562.4</v>
      </c>
      <c r="D59" s="114">
        <v>-545.88</v>
      </c>
      <c r="E59" s="115">
        <v>942.42</v>
      </c>
      <c r="F59" s="113">
        <v>562.41</v>
      </c>
      <c r="G59" s="114">
        <v>-545.77</v>
      </c>
      <c r="H59" s="115">
        <v>942.5</v>
      </c>
      <c r="I59" s="113">
        <f t="shared" si="0"/>
        <v>-9.9999999999909051E-3</v>
      </c>
      <c r="J59" s="114">
        <f t="shared" si="1"/>
        <v>-0.11000000000001364</v>
      </c>
      <c r="K59" s="115">
        <f t="shared" si="2"/>
        <v>-8.0000000000040927E-2</v>
      </c>
      <c r="L59" s="116"/>
      <c r="M59" s="116"/>
      <c r="N59" s="116"/>
      <c r="O59" s="128" t="s">
        <v>158</v>
      </c>
      <c r="P59">
        <v>0.44799999999997908</v>
      </c>
      <c r="Q59">
        <v>-0.40200000000004366</v>
      </c>
      <c r="R59">
        <v>-0.51300000000000523</v>
      </c>
    </row>
    <row r="60" spans="1:22" x14ac:dyDescent="0.25">
      <c r="A60" s="25"/>
      <c r="B60" s="5"/>
      <c r="C60" s="112">
        <v>774.46</v>
      </c>
      <c r="D60" s="116">
        <v>106.81</v>
      </c>
      <c r="E60" s="51">
        <v>943.23</v>
      </c>
      <c r="F60" s="112">
        <v>774.5</v>
      </c>
      <c r="G60" s="116">
        <v>106.79</v>
      </c>
      <c r="H60" s="51">
        <v>943.1</v>
      </c>
      <c r="I60" s="112">
        <f t="shared" si="0"/>
        <v>-3.999999999996362E-2</v>
      </c>
      <c r="J60" s="116">
        <f t="shared" si="1"/>
        <v>1.9999999999996021E-2</v>
      </c>
      <c r="K60" s="51">
        <f t="shared" si="2"/>
        <v>0.12999999999999545</v>
      </c>
      <c r="L60" s="116"/>
      <c r="M60" s="116"/>
      <c r="N60" s="116"/>
      <c r="O60" s="40" t="s">
        <v>159</v>
      </c>
      <c r="P60" s="38">
        <v>0.79087103879205356</v>
      </c>
    </row>
    <row r="61" spans="1:22" x14ac:dyDescent="0.25">
      <c r="A61" s="25"/>
      <c r="B61" s="5"/>
      <c r="C61" s="112">
        <v>453.32</v>
      </c>
      <c r="D61" s="116">
        <v>572</v>
      </c>
      <c r="E61" s="51">
        <v>815.95</v>
      </c>
      <c r="F61" s="112">
        <v>453.27</v>
      </c>
      <c r="G61" s="116">
        <v>572.14</v>
      </c>
      <c r="H61" s="51">
        <v>815.79</v>
      </c>
      <c r="I61" s="112">
        <f t="shared" si="0"/>
        <v>5.0000000000011369E-2</v>
      </c>
      <c r="J61" s="116">
        <f t="shared" si="1"/>
        <v>-0.13999999999998636</v>
      </c>
      <c r="K61" s="51">
        <f t="shared" si="2"/>
        <v>0.16000000000008185</v>
      </c>
      <c r="L61" s="116"/>
      <c r="M61" s="116"/>
      <c r="N61" s="116"/>
      <c r="O61" s="40" t="s">
        <v>160</v>
      </c>
      <c r="P61" s="57">
        <f t="array" ref="P61">AVERAGE(ABS(I59:I64))</f>
        <v>3.3333333333321967E-2</v>
      </c>
      <c r="Q61" s="57">
        <f t="array" ref="Q61">AVERAGE(ABS(J59:J64))</f>
        <v>0.14833333333332868</v>
      </c>
      <c r="R61" s="57">
        <f t="array" ref="R61">AVERAGE(ABS(K59:K64))</f>
        <v>0.1466666666667038</v>
      </c>
      <c r="S61" s="57"/>
    </row>
    <row r="62" spans="1:22" x14ac:dyDescent="0.25">
      <c r="A62" s="25"/>
      <c r="B62" s="5"/>
      <c r="C62" s="112">
        <v>743.23</v>
      </c>
      <c r="D62" s="116">
        <v>920.73</v>
      </c>
      <c r="E62" s="51">
        <v>939.61</v>
      </c>
      <c r="F62" s="112">
        <v>743.2</v>
      </c>
      <c r="G62" s="116">
        <v>920.98</v>
      </c>
      <c r="H62" s="51">
        <v>939.43</v>
      </c>
      <c r="I62" s="112">
        <f t="shared" si="0"/>
        <v>2.9999999999972715E-2</v>
      </c>
      <c r="J62" s="116">
        <f t="shared" si="1"/>
        <v>-0.25</v>
      </c>
      <c r="K62" s="51">
        <f t="shared" si="2"/>
        <v>0.18000000000006366</v>
      </c>
      <c r="L62" s="116"/>
      <c r="M62" s="116"/>
      <c r="N62" s="116"/>
      <c r="P62" s="38">
        <f>SQRT(P61^2+Q61^2+R61^2)</f>
        <v>0.21124630174279679</v>
      </c>
    </row>
    <row r="63" spans="1:22" x14ac:dyDescent="0.25">
      <c r="A63" s="25"/>
      <c r="B63" s="5"/>
      <c r="C63" s="112">
        <v>158</v>
      </c>
      <c r="D63" s="116">
        <v>845.83</v>
      </c>
      <c r="E63" s="51">
        <v>750.73</v>
      </c>
      <c r="F63" s="112">
        <v>157.94</v>
      </c>
      <c r="G63" s="116">
        <v>846.13</v>
      </c>
      <c r="H63" s="51">
        <v>750.52</v>
      </c>
      <c r="I63" s="112">
        <f t="shared" si="0"/>
        <v>6.0000000000002274E-2</v>
      </c>
      <c r="J63" s="116">
        <f t="shared" si="1"/>
        <v>-0.29999999999995453</v>
      </c>
      <c r="K63" s="51">
        <f t="shared" si="2"/>
        <v>0.21000000000003638</v>
      </c>
      <c r="L63" s="116"/>
      <c r="M63" s="116"/>
      <c r="N63" s="116"/>
      <c r="O63" s="143" t="s">
        <v>343</v>
      </c>
    </row>
    <row r="64" spans="1:22" ht="15.75" thickBot="1" x14ac:dyDescent="0.3">
      <c r="A64" s="27"/>
      <c r="B64" s="28"/>
      <c r="C64" s="117">
        <v>141.44</v>
      </c>
      <c r="D64" s="118">
        <v>143.11000000000001</v>
      </c>
      <c r="E64" s="55">
        <v>755.75</v>
      </c>
      <c r="F64" s="117">
        <v>141.43</v>
      </c>
      <c r="G64" s="118">
        <v>143.04</v>
      </c>
      <c r="H64" s="55">
        <v>755.63</v>
      </c>
      <c r="I64" s="117">
        <f t="shared" si="0"/>
        <v>9.9999999999909051E-3</v>
      </c>
      <c r="J64" s="118">
        <f t="shared" si="1"/>
        <v>7.00000000000216E-2</v>
      </c>
      <c r="K64" s="55">
        <f t="shared" si="2"/>
        <v>0.12000000000000455</v>
      </c>
      <c r="L64" s="116"/>
      <c r="M64" s="116"/>
      <c r="N64" s="116"/>
    </row>
    <row r="65" spans="1:22" x14ac:dyDescent="0.25">
      <c r="A65" s="21" t="s">
        <v>359</v>
      </c>
      <c r="B65" s="109">
        <v>0.58750000000000002</v>
      </c>
      <c r="C65" s="113">
        <v>141.85</v>
      </c>
      <c r="D65" s="114">
        <v>143.66</v>
      </c>
      <c r="E65" s="115">
        <v>755.37</v>
      </c>
      <c r="F65" s="113">
        <v>141.41999999999999</v>
      </c>
      <c r="G65" s="114">
        <v>143.05000000000001</v>
      </c>
      <c r="H65" s="115">
        <v>755.62</v>
      </c>
      <c r="I65" s="113">
        <f t="shared" si="0"/>
        <v>0.43000000000000682</v>
      </c>
      <c r="J65" s="114">
        <f t="shared" si="1"/>
        <v>0.60999999999998522</v>
      </c>
      <c r="K65" s="115">
        <f t="shared" si="2"/>
        <v>-0.25</v>
      </c>
      <c r="L65" s="116"/>
      <c r="M65" s="116"/>
      <c r="N65" s="116"/>
      <c r="O65" s="128" t="s">
        <v>158</v>
      </c>
      <c r="P65">
        <v>0.57799999999997453</v>
      </c>
      <c r="Q65">
        <v>-1.2720000000001619</v>
      </c>
      <c r="R65">
        <v>-0.94300000000000495</v>
      </c>
    </row>
    <row r="66" spans="1:22" x14ac:dyDescent="0.25">
      <c r="A66" s="25"/>
      <c r="B66" s="5"/>
      <c r="C66" s="112">
        <v>453.21</v>
      </c>
      <c r="D66" s="116">
        <v>-514.51</v>
      </c>
      <c r="E66" s="51">
        <v>894.03</v>
      </c>
      <c r="F66" s="112">
        <v>452.89</v>
      </c>
      <c r="G66" s="116">
        <v>-515.13</v>
      </c>
      <c r="H66" s="51">
        <v>894.55</v>
      </c>
      <c r="I66" s="112">
        <f t="shared" si="0"/>
        <v>0.31999999999999318</v>
      </c>
      <c r="J66" s="116">
        <f t="shared" si="1"/>
        <v>0.62000000000000455</v>
      </c>
      <c r="K66" s="51">
        <f t="shared" si="2"/>
        <v>-0.51999999999998181</v>
      </c>
      <c r="L66" s="116"/>
      <c r="M66" s="116"/>
      <c r="N66" s="116"/>
      <c r="O66" s="40" t="s">
        <v>159</v>
      </c>
      <c r="P66" s="38">
        <v>1.6856206572062387</v>
      </c>
    </row>
    <row r="67" spans="1:22" x14ac:dyDescent="0.25">
      <c r="A67" s="25"/>
      <c r="B67" s="5"/>
      <c r="C67" s="112">
        <v>732.43</v>
      </c>
      <c r="D67" s="116">
        <v>29.67</v>
      </c>
      <c r="E67" s="51">
        <v>894.9</v>
      </c>
      <c r="F67" s="112">
        <v>732.09</v>
      </c>
      <c r="G67" s="116">
        <v>29.13</v>
      </c>
      <c r="H67" s="51">
        <v>895.12</v>
      </c>
      <c r="I67" s="112">
        <f t="shared" si="0"/>
        <v>0.33999999999991815</v>
      </c>
      <c r="J67" s="116">
        <f t="shared" si="1"/>
        <v>0.5400000000000027</v>
      </c>
      <c r="K67" s="51">
        <f t="shared" si="2"/>
        <v>-0.22000000000002728</v>
      </c>
      <c r="L67" s="116"/>
      <c r="M67" s="116"/>
      <c r="N67" s="116"/>
      <c r="O67" s="40" t="s">
        <v>160</v>
      </c>
      <c r="P67" s="57">
        <f t="array" ref="P67">AVERAGE(ABS(I65:I70))</f>
        <v>0.41166666666664281</v>
      </c>
      <c r="Q67" s="57">
        <f t="array" ref="Q67">AVERAGE(ABS(J65:J70))</f>
        <v>0.45666666666665101</v>
      </c>
      <c r="R67" s="57">
        <f t="array" ref="R67">AVERAGE(ABS(K65:K70))</f>
        <v>0.20999999999999849</v>
      </c>
      <c r="S67" s="57"/>
    </row>
    <row r="68" spans="1:22" x14ac:dyDescent="0.25">
      <c r="A68" s="25"/>
      <c r="B68" s="5"/>
      <c r="C68" s="112">
        <v>479.88</v>
      </c>
      <c r="D68" s="116">
        <v>615.63</v>
      </c>
      <c r="E68" s="51">
        <v>694.25</v>
      </c>
      <c r="F68" s="112">
        <v>479.41</v>
      </c>
      <c r="G68" s="116">
        <v>615.19000000000005</v>
      </c>
      <c r="H68" s="51">
        <v>694.38</v>
      </c>
      <c r="I68" s="112">
        <f t="shared" si="0"/>
        <v>0.46999999999997044</v>
      </c>
      <c r="J68" s="116">
        <f t="shared" si="1"/>
        <v>0.43999999999994088</v>
      </c>
      <c r="K68" s="51">
        <f t="shared" si="2"/>
        <v>-0.12999999999999545</v>
      </c>
      <c r="L68" s="116"/>
      <c r="M68" s="116"/>
      <c r="N68" s="116"/>
      <c r="P68" s="38">
        <f>SQRT(P67^2+Q67^2+R67^2)</f>
        <v>0.64970292356495851</v>
      </c>
    </row>
    <row r="69" spans="1:22" x14ac:dyDescent="0.25">
      <c r="A69" s="25"/>
      <c r="B69" s="5"/>
      <c r="C69" s="112">
        <v>787.98</v>
      </c>
      <c r="D69" s="116">
        <v>942.94</v>
      </c>
      <c r="E69" s="51">
        <v>901.12</v>
      </c>
      <c r="F69" s="112">
        <v>787.58</v>
      </c>
      <c r="G69" s="116">
        <v>942.72</v>
      </c>
      <c r="H69" s="51">
        <v>901.06</v>
      </c>
      <c r="I69" s="112">
        <f t="shared" si="0"/>
        <v>0.39999999999997726</v>
      </c>
      <c r="J69" s="116">
        <f t="shared" si="1"/>
        <v>0.22000000000002728</v>
      </c>
      <c r="K69" s="51">
        <f t="shared" si="2"/>
        <v>6.0000000000059117E-2</v>
      </c>
      <c r="L69" s="116"/>
      <c r="M69" s="116"/>
      <c r="N69" s="116"/>
      <c r="O69" s="143" t="s">
        <v>342</v>
      </c>
    </row>
    <row r="70" spans="1:22" ht="15.75" thickBot="1" x14ac:dyDescent="0.3">
      <c r="A70" s="27"/>
      <c r="B70" s="28"/>
      <c r="C70" s="117">
        <v>157.07</v>
      </c>
      <c r="D70" s="118">
        <v>820.31</v>
      </c>
      <c r="E70" s="55">
        <v>733.83</v>
      </c>
      <c r="F70" s="119">
        <v>156.56</v>
      </c>
      <c r="G70" s="120">
        <v>820</v>
      </c>
      <c r="H70" s="121">
        <v>733.91</v>
      </c>
      <c r="I70" s="117">
        <f t="shared" si="0"/>
        <v>0.50999999999999091</v>
      </c>
      <c r="J70" s="118">
        <f t="shared" si="1"/>
        <v>0.30999999999994543</v>
      </c>
      <c r="K70" s="55">
        <f t="shared" si="2"/>
        <v>-7.999999999992724E-2</v>
      </c>
      <c r="L70" s="116"/>
      <c r="M70" s="116"/>
      <c r="N70" s="116"/>
    </row>
    <row r="71" spans="1:22" x14ac:dyDescent="0.25">
      <c r="A71" s="21" t="s">
        <v>360</v>
      </c>
      <c r="B71" s="109">
        <v>0.59166666666666667</v>
      </c>
      <c r="C71" s="113">
        <v>156.74</v>
      </c>
      <c r="D71" s="114">
        <v>819.66</v>
      </c>
      <c r="E71" s="115">
        <v>734.11</v>
      </c>
      <c r="F71" s="122">
        <v>156.56</v>
      </c>
      <c r="G71" s="123">
        <v>820.03</v>
      </c>
      <c r="H71" s="124">
        <v>733.94</v>
      </c>
      <c r="I71" s="113">
        <f t="shared" si="0"/>
        <v>0.18000000000000682</v>
      </c>
      <c r="J71" s="114">
        <f t="shared" si="1"/>
        <v>-0.37000000000000455</v>
      </c>
      <c r="K71" s="115">
        <f t="shared" si="2"/>
        <v>0.16999999999995907</v>
      </c>
      <c r="L71" s="116"/>
      <c r="M71" s="116"/>
      <c r="N71" s="116"/>
      <c r="O71" s="128" t="s">
        <v>158</v>
      </c>
      <c r="P71">
        <v>0.16800000000000637</v>
      </c>
      <c r="Q71">
        <v>-0.32200000000011642</v>
      </c>
      <c r="R71">
        <v>-0.30300000000000438</v>
      </c>
      <c r="V71" s="191" t="s">
        <v>350</v>
      </c>
    </row>
    <row r="72" spans="1:22" x14ac:dyDescent="0.25">
      <c r="A72" s="25"/>
      <c r="B72" s="5"/>
      <c r="C72" s="112">
        <v>737.14</v>
      </c>
      <c r="D72" s="116">
        <v>758.63</v>
      </c>
      <c r="E72" s="51">
        <v>878.02</v>
      </c>
      <c r="F72" s="125">
        <v>737.08</v>
      </c>
      <c r="G72" s="126">
        <v>758.87</v>
      </c>
      <c r="H72" s="127">
        <v>877.79</v>
      </c>
      <c r="I72" s="112">
        <f t="shared" ref="I72:I84" si="11">C72-F72</f>
        <v>5.999999999994543E-2</v>
      </c>
      <c r="J72" s="116">
        <f t="shared" ref="J72:J84" si="12">D72-G72</f>
        <v>-0.24000000000000909</v>
      </c>
      <c r="K72" s="51">
        <f t="shared" ref="K72:K84" si="13">E72-H72</f>
        <v>0.23000000000001819</v>
      </c>
      <c r="L72" s="116"/>
      <c r="M72" s="116"/>
      <c r="N72" s="116"/>
      <c r="O72" s="40" t="s">
        <v>159</v>
      </c>
      <c r="P72" s="38">
        <v>0.47298731484055656</v>
      </c>
    </row>
    <row r="73" spans="1:22" x14ac:dyDescent="0.25">
      <c r="A73" s="25"/>
      <c r="B73" s="5"/>
      <c r="C73" s="112">
        <v>437.81</v>
      </c>
      <c r="D73" s="116">
        <v>632.19000000000005</v>
      </c>
      <c r="E73" s="51">
        <v>776.92</v>
      </c>
      <c r="F73" s="125">
        <v>437.66</v>
      </c>
      <c r="G73" s="126">
        <v>632.42999999999995</v>
      </c>
      <c r="H73" s="127">
        <v>776.7</v>
      </c>
      <c r="I73" s="112">
        <f t="shared" si="11"/>
        <v>0.14999999999997726</v>
      </c>
      <c r="J73" s="116">
        <f t="shared" si="12"/>
        <v>-0.23999999999989541</v>
      </c>
      <c r="K73" s="51">
        <f t="shared" si="13"/>
        <v>0.2199999999999136</v>
      </c>
      <c r="L73" s="116"/>
      <c r="M73" s="116"/>
      <c r="N73" s="116"/>
      <c r="O73" s="40" t="s">
        <v>160</v>
      </c>
      <c r="P73" s="57">
        <f t="array" ref="P73">AVERAGE(ABS(I71:I76))</f>
        <v>0.1683333333333342</v>
      </c>
      <c r="Q73" s="57">
        <f t="array" ref="Q73">AVERAGE(ABS(J71:J76))</f>
        <v>0.2233333333333197</v>
      </c>
      <c r="R73" s="57">
        <f t="array" ref="R73">AVERAGE(ABS(K71:K76))</f>
        <v>0.25</v>
      </c>
      <c r="S73" s="57"/>
    </row>
    <row r="74" spans="1:22" x14ac:dyDescent="0.25">
      <c r="A74" s="25"/>
      <c r="B74" s="5"/>
      <c r="C74" s="112">
        <v>718.45</v>
      </c>
      <c r="D74" s="116">
        <v>221.39</v>
      </c>
      <c r="E74" s="51">
        <v>988.83</v>
      </c>
      <c r="F74" s="125">
        <v>718.28</v>
      </c>
      <c r="G74" s="126">
        <v>221.59</v>
      </c>
      <c r="H74" s="127">
        <v>988.51</v>
      </c>
      <c r="I74" s="112">
        <f t="shared" si="11"/>
        <v>0.17000000000007276</v>
      </c>
      <c r="J74" s="116">
        <f t="shared" si="12"/>
        <v>-0.20000000000001705</v>
      </c>
      <c r="K74" s="51">
        <f t="shared" si="13"/>
        <v>0.32000000000005002</v>
      </c>
      <c r="L74" s="116"/>
      <c r="M74" s="116"/>
      <c r="N74" s="116"/>
      <c r="P74" s="38">
        <f>SQRT(P73^2+Q73^2+R73^2)</f>
        <v>0.37511849979557538</v>
      </c>
    </row>
    <row r="75" spans="1:22" x14ac:dyDescent="0.25">
      <c r="A75" s="25"/>
      <c r="B75" s="5"/>
      <c r="C75" s="112">
        <v>109.17</v>
      </c>
      <c r="D75" s="116">
        <v>141.55000000000001</v>
      </c>
      <c r="E75" s="51">
        <v>683.34</v>
      </c>
      <c r="F75" s="125">
        <v>108.97</v>
      </c>
      <c r="G75" s="126">
        <v>141.66999999999999</v>
      </c>
      <c r="H75" s="127">
        <v>683.07</v>
      </c>
      <c r="I75" s="112">
        <f t="shared" si="11"/>
        <v>0.20000000000000284</v>
      </c>
      <c r="J75" s="116">
        <f t="shared" si="12"/>
        <v>-0.11999999999997613</v>
      </c>
      <c r="K75" s="51">
        <f t="shared" si="13"/>
        <v>0.26999999999998181</v>
      </c>
      <c r="L75" s="116"/>
      <c r="M75" s="116"/>
      <c r="N75" s="116"/>
    </row>
    <row r="76" spans="1:22" ht="15.75" thickBot="1" x14ac:dyDescent="0.3">
      <c r="A76" s="27"/>
      <c r="B76" s="28"/>
      <c r="C76" s="117">
        <v>442.03</v>
      </c>
      <c r="D76" s="118">
        <v>-436.19</v>
      </c>
      <c r="E76" s="55">
        <v>1004.72</v>
      </c>
      <c r="F76" s="117">
        <v>441.78</v>
      </c>
      <c r="G76" s="118">
        <v>-436.02</v>
      </c>
      <c r="H76" s="55">
        <v>1004.43</v>
      </c>
      <c r="I76" s="117">
        <f t="shared" si="11"/>
        <v>0.25</v>
      </c>
      <c r="J76" s="118">
        <f t="shared" si="12"/>
        <v>-0.17000000000001592</v>
      </c>
      <c r="K76" s="55">
        <f t="shared" si="13"/>
        <v>0.29000000000007731</v>
      </c>
      <c r="L76" s="116"/>
      <c r="M76" s="116"/>
      <c r="N76" s="116"/>
    </row>
    <row r="77" spans="1:22" x14ac:dyDescent="0.25">
      <c r="A77" s="21" t="s">
        <v>351</v>
      </c>
      <c r="B77" s="109">
        <v>0.60972222222222217</v>
      </c>
      <c r="C77" s="113">
        <v>550.04999999999995</v>
      </c>
      <c r="D77" s="114">
        <v>520.54</v>
      </c>
      <c r="E77" s="115">
        <v>300.60000000000002</v>
      </c>
      <c r="F77" s="113">
        <v>550.4</v>
      </c>
      <c r="G77" s="114">
        <v>520.30999999999995</v>
      </c>
      <c r="H77" s="115">
        <v>300.89999999999998</v>
      </c>
      <c r="I77" s="113">
        <f t="shared" si="11"/>
        <v>-0.35000000000002274</v>
      </c>
      <c r="J77" s="114">
        <f t="shared" si="12"/>
        <v>0.23000000000001819</v>
      </c>
      <c r="K77" s="115">
        <f t="shared" si="13"/>
        <v>-0.29999999999995453</v>
      </c>
      <c r="L77" s="116"/>
      <c r="M77" s="116"/>
      <c r="N77" s="116"/>
      <c r="O77" s="128" t="s">
        <v>158</v>
      </c>
      <c r="P77">
        <v>990.41800000000001</v>
      </c>
      <c r="Q77">
        <v>1697.6479999999999</v>
      </c>
      <c r="R77">
        <v>40.436999999999998</v>
      </c>
    </row>
    <row r="78" spans="1:22" x14ac:dyDescent="0.25">
      <c r="A78" s="25" t="s">
        <v>156</v>
      </c>
      <c r="B78" s="5"/>
      <c r="C78" s="112">
        <v>148.28</v>
      </c>
      <c r="D78" s="116">
        <v>463.05</v>
      </c>
      <c r="E78" s="51">
        <v>251.52</v>
      </c>
      <c r="F78" s="112">
        <v>148.49</v>
      </c>
      <c r="G78" s="116">
        <v>463.4</v>
      </c>
      <c r="H78" s="51">
        <v>251.51</v>
      </c>
      <c r="I78" s="112">
        <f t="shared" si="11"/>
        <v>-0.21000000000000796</v>
      </c>
      <c r="J78" s="116">
        <f t="shared" si="12"/>
        <v>-0.34999999999996589</v>
      </c>
      <c r="K78" s="51">
        <f t="shared" si="13"/>
        <v>1.0000000000019327E-2</v>
      </c>
      <c r="L78" s="116"/>
      <c r="M78" s="116"/>
      <c r="N78" s="116"/>
      <c r="O78" s="40" t="s">
        <v>159</v>
      </c>
      <c r="P78" s="38">
        <v>0</v>
      </c>
      <c r="U78" s="57"/>
      <c r="V78" s="57"/>
    </row>
    <row r="79" spans="1:22" x14ac:dyDescent="0.25">
      <c r="A79" s="25"/>
      <c r="B79" s="5"/>
      <c r="C79" s="112">
        <v>230.05</v>
      </c>
      <c r="D79" s="116">
        <v>845.47</v>
      </c>
      <c r="E79" s="51">
        <v>269.56</v>
      </c>
      <c r="F79" s="112">
        <v>230.83</v>
      </c>
      <c r="G79" s="116">
        <v>845.75</v>
      </c>
      <c r="H79" s="51">
        <v>269.69</v>
      </c>
      <c r="I79" s="112">
        <f t="shared" si="11"/>
        <v>-0.78000000000000114</v>
      </c>
      <c r="J79" s="116">
        <f t="shared" si="12"/>
        <v>-0.27999999999997272</v>
      </c>
      <c r="K79" s="51">
        <f t="shared" si="13"/>
        <v>-0.12999999999999545</v>
      </c>
      <c r="L79" s="116"/>
      <c r="M79" s="116"/>
      <c r="N79" s="116"/>
      <c r="O79" s="40" t="s">
        <v>160</v>
      </c>
      <c r="P79" s="57">
        <f t="array" ref="P79">AVERAGE(ABS(I77:I83))</f>
        <v>0.43999999999998962</v>
      </c>
      <c r="Q79" s="57">
        <f t="array" ref="Q79">AVERAGE(ABS(J77:J83))</f>
        <v>0.32571428571428307</v>
      </c>
      <c r="R79" s="57">
        <f t="array" ref="R79">AVERAGE(ABS(K77:K83))</f>
        <v>0.25857142857141674</v>
      </c>
      <c r="S79" s="57"/>
      <c r="U79" s="57"/>
      <c r="V79" s="57"/>
    </row>
    <row r="80" spans="1:22" x14ac:dyDescent="0.25">
      <c r="A80" s="25"/>
      <c r="B80" s="5"/>
      <c r="C80" s="112">
        <v>870.47</v>
      </c>
      <c r="D80" s="116">
        <v>812.47</v>
      </c>
      <c r="E80" s="51">
        <v>270.64</v>
      </c>
      <c r="F80" s="112">
        <v>871.27</v>
      </c>
      <c r="G80" s="116">
        <v>811.95</v>
      </c>
      <c r="H80" s="51">
        <v>271.27999999999997</v>
      </c>
      <c r="I80" s="112">
        <f t="shared" si="11"/>
        <v>-0.79999999999995453</v>
      </c>
      <c r="J80" s="116">
        <f t="shared" si="12"/>
        <v>0.51999999999998181</v>
      </c>
      <c r="K80" s="51">
        <f t="shared" si="13"/>
        <v>-0.63999999999998636</v>
      </c>
      <c r="L80" s="116"/>
      <c r="M80" s="116"/>
      <c r="N80" s="116"/>
      <c r="P80" s="38">
        <f>SQRT(P79^2+Q79^2+R79^2)</f>
        <v>0.60543288611688395</v>
      </c>
    </row>
    <row r="81" spans="1:22" x14ac:dyDescent="0.25">
      <c r="A81" s="25"/>
      <c r="B81" s="5"/>
      <c r="C81" s="112">
        <v>803.97</v>
      </c>
      <c r="D81" s="116">
        <v>487.91</v>
      </c>
      <c r="E81" s="51">
        <v>232.68</v>
      </c>
      <c r="F81" s="112">
        <v>804.47</v>
      </c>
      <c r="G81" s="116">
        <v>487.44</v>
      </c>
      <c r="H81" s="51">
        <v>233.08</v>
      </c>
      <c r="I81" s="112">
        <f t="shared" si="11"/>
        <v>-0.5</v>
      </c>
      <c r="J81" s="116">
        <f t="shared" si="12"/>
        <v>0.47000000000002728</v>
      </c>
      <c r="K81" s="51">
        <f t="shared" si="13"/>
        <v>-0.40000000000000568</v>
      </c>
      <c r="L81" s="116"/>
      <c r="M81" s="116"/>
      <c r="N81" s="116"/>
      <c r="O81" s="143" t="s">
        <v>344</v>
      </c>
      <c r="U81" s="57"/>
      <c r="V81" s="57"/>
    </row>
    <row r="82" spans="1:22" x14ac:dyDescent="0.25">
      <c r="A82" s="25"/>
      <c r="B82" s="5"/>
      <c r="C82" s="112">
        <v>841.89</v>
      </c>
      <c r="D82" s="116">
        <v>170.06</v>
      </c>
      <c r="E82" s="51">
        <v>365.85</v>
      </c>
      <c r="F82" s="112">
        <v>841.73</v>
      </c>
      <c r="G82" s="116">
        <v>169.64</v>
      </c>
      <c r="H82" s="51">
        <v>366.13</v>
      </c>
      <c r="I82" s="112">
        <f t="shared" si="11"/>
        <v>0.15999999999996817</v>
      </c>
      <c r="J82" s="116">
        <f t="shared" si="12"/>
        <v>0.42000000000001592</v>
      </c>
      <c r="K82" s="51">
        <f t="shared" si="13"/>
        <v>-0.27999999999997272</v>
      </c>
      <c r="L82" s="116"/>
      <c r="M82" s="116"/>
      <c r="N82" s="116"/>
      <c r="U82" s="57"/>
      <c r="V82" s="57"/>
    </row>
    <row r="83" spans="1:22" x14ac:dyDescent="0.25">
      <c r="A83" s="25"/>
      <c r="B83" s="111"/>
      <c r="C83" s="112">
        <v>262.52</v>
      </c>
      <c r="D83" s="116">
        <v>1.98</v>
      </c>
      <c r="E83" s="51">
        <v>189.26</v>
      </c>
      <c r="F83" s="112">
        <v>262.24</v>
      </c>
      <c r="G83" s="116">
        <v>1.99</v>
      </c>
      <c r="H83" s="51">
        <v>189.21</v>
      </c>
      <c r="I83" s="112">
        <f t="shared" si="11"/>
        <v>0.27999999999997272</v>
      </c>
      <c r="J83" s="116">
        <f t="shared" si="12"/>
        <v>-1.0000000000000009E-2</v>
      </c>
      <c r="K83" s="51">
        <f t="shared" si="13"/>
        <v>4.9999999999982947E-2</v>
      </c>
      <c r="L83" s="116"/>
      <c r="M83" s="116"/>
      <c r="N83" s="116"/>
      <c r="U83" s="57"/>
      <c r="V83" s="57"/>
    </row>
    <row r="84" spans="1:22" ht="15.75" thickBot="1" x14ac:dyDescent="0.3">
      <c r="A84" s="27"/>
      <c r="B84" s="28"/>
      <c r="C84" s="117">
        <v>1213.3</v>
      </c>
      <c r="D84" s="118">
        <v>-900.97</v>
      </c>
      <c r="E84" s="55">
        <v>529.66</v>
      </c>
      <c r="F84" s="117">
        <v>1211.8399999999999</v>
      </c>
      <c r="G84" s="118">
        <v>-902.36</v>
      </c>
      <c r="H84" s="55">
        <v>530.04999999999995</v>
      </c>
      <c r="I84" s="117">
        <f t="shared" si="11"/>
        <v>1.4600000000000364</v>
      </c>
      <c r="J84" s="118">
        <f t="shared" si="12"/>
        <v>1.3899999999999864</v>
      </c>
      <c r="K84" s="55">
        <f t="shared" si="13"/>
        <v>-0.38999999999998636</v>
      </c>
      <c r="L84" s="116"/>
      <c r="M84" s="116"/>
      <c r="N84" s="116"/>
      <c r="U84" s="57"/>
      <c r="V84" s="57"/>
    </row>
    <row r="86" spans="1:22" x14ac:dyDescent="0.25">
      <c r="F86" s="104"/>
      <c r="G86" s="104"/>
      <c r="H86" s="104"/>
    </row>
    <row r="112" spans="3:4" x14ac:dyDescent="0.25">
      <c r="C112">
        <v>0</v>
      </c>
      <c r="D112">
        <v>0</v>
      </c>
    </row>
    <row r="113" spans="3:4" x14ac:dyDescent="0.25">
      <c r="C113">
        <v>0</v>
      </c>
      <c r="D113">
        <v>1000</v>
      </c>
    </row>
    <row r="114" spans="3:4" x14ac:dyDescent="0.25">
      <c r="C114">
        <v>1000</v>
      </c>
      <c r="D114">
        <v>0</v>
      </c>
    </row>
    <row r="115" spans="3:4" x14ac:dyDescent="0.25">
      <c r="C115">
        <v>1000</v>
      </c>
      <c r="D115">
        <v>1000</v>
      </c>
    </row>
  </sheetData>
  <mergeCells count="3">
    <mergeCell ref="C5:E5"/>
    <mergeCell ref="F5:H5"/>
    <mergeCell ref="I5:K5"/>
  </mergeCells>
  <conditionalFormatting sqref="I7:K49 I51:N84 I50:L50 N49">
    <cfRule type="cellIs" dxfId="7" priority="3" operator="lessThan">
      <formula>-1</formula>
    </cfRule>
    <cfRule type="cellIs" dxfId="6" priority="4" operator="greaterThan">
      <formula>1</formula>
    </cfRule>
  </conditionalFormatting>
  <conditionalFormatting sqref="J16">
    <cfRule type="cellIs" dxfId="5" priority="2" operator="greaterThan">
      <formula>0.6</formula>
    </cfRule>
  </conditionalFormatting>
  <conditionalFormatting sqref="L7:N46">
    <cfRule type="cellIs" dxfId="4" priority="1" operator="greaterThan">
      <formula>1700</formula>
    </cfRule>
  </conditionalFormatting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DEF0-9664-4616-8A73-7FAF135FAEF2}">
  <dimension ref="A1:R47"/>
  <sheetViews>
    <sheetView workbookViewId="0">
      <selection activeCell="D6" sqref="D6"/>
    </sheetView>
  </sheetViews>
  <sheetFormatPr baseColWidth="10" defaultRowHeight="15" x14ac:dyDescent="0.25"/>
  <cols>
    <col min="1" max="1" width="13" customWidth="1"/>
    <col min="2" max="2" width="24.5703125" customWidth="1"/>
    <col min="3" max="3" width="17.42578125" customWidth="1"/>
    <col min="4" max="4" width="23.28515625" customWidth="1"/>
    <col min="5" max="6" width="23" customWidth="1"/>
    <col min="7" max="7" width="8.140625" customWidth="1"/>
    <col min="8" max="9" width="7.7109375" customWidth="1"/>
    <col min="10" max="10" width="6.7109375" customWidth="1"/>
    <col min="11" max="11" width="7.28515625" customWidth="1"/>
    <col min="12" max="12" width="5.42578125" customWidth="1"/>
    <col min="13" max="13" width="2.7109375" customWidth="1"/>
    <col min="14" max="14" width="2.140625" customWidth="1"/>
    <col min="15" max="15" width="2.42578125" customWidth="1"/>
  </cols>
  <sheetData>
    <row r="1" spans="1:18" x14ac:dyDescent="0.25">
      <c r="A1" t="s">
        <v>376</v>
      </c>
      <c r="B1" t="s">
        <v>380</v>
      </c>
      <c r="C1" t="s">
        <v>375</v>
      </c>
      <c r="D1" t="s">
        <v>378</v>
      </c>
      <c r="E1" t="s">
        <v>377</v>
      </c>
      <c r="F1" t="s">
        <v>394</v>
      </c>
      <c r="G1" t="s">
        <v>390</v>
      </c>
    </row>
    <row r="2" spans="1:18" x14ac:dyDescent="0.25">
      <c r="A2" t="s">
        <v>381</v>
      </c>
      <c r="B2" t="s">
        <v>379</v>
      </c>
      <c r="C2">
        <v>1355.46</v>
      </c>
      <c r="D2">
        <v>6</v>
      </c>
      <c r="E2">
        <v>5</v>
      </c>
      <c r="F2">
        <v>875</v>
      </c>
      <c r="G2" s="223">
        <f>Q17</f>
        <v>0.39453207164380394</v>
      </c>
    </row>
    <row r="4" spans="1:18" x14ac:dyDescent="0.25">
      <c r="A4" t="s">
        <v>382</v>
      </c>
      <c r="B4" t="s">
        <v>383</v>
      </c>
      <c r="C4">
        <v>1290.8</v>
      </c>
      <c r="D4">
        <v>7</v>
      </c>
      <c r="E4">
        <v>7</v>
      </c>
      <c r="F4">
        <v>780</v>
      </c>
      <c r="G4" s="57">
        <f>Q35</f>
        <v>0.61754442035460755</v>
      </c>
    </row>
    <row r="5" spans="1:18" x14ac:dyDescent="0.25">
      <c r="A5" t="s">
        <v>382</v>
      </c>
      <c r="B5" t="s">
        <v>384</v>
      </c>
      <c r="C5">
        <v>1290.8</v>
      </c>
      <c r="D5">
        <v>7</v>
      </c>
      <c r="E5">
        <v>7</v>
      </c>
      <c r="F5">
        <v>780</v>
      </c>
      <c r="G5" s="57">
        <f>Q43</f>
        <v>0.59353417129934327</v>
      </c>
    </row>
    <row r="6" spans="1:18" x14ac:dyDescent="0.25">
      <c r="A6" t="s">
        <v>382</v>
      </c>
      <c r="B6" t="s">
        <v>385</v>
      </c>
      <c r="C6">
        <v>1290.8</v>
      </c>
      <c r="D6">
        <v>7</v>
      </c>
      <c r="E6">
        <v>7</v>
      </c>
      <c r="F6">
        <v>780</v>
      </c>
    </row>
    <row r="8" spans="1:18" x14ac:dyDescent="0.25">
      <c r="A8" t="s">
        <v>387</v>
      </c>
      <c r="B8" t="s">
        <v>386</v>
      </c>
      <c r="C8">
        <v>1585.09</v>
      </c>
      <c r="D8">
        <v>5</v>
      </c>
      <c r="E8">
        <v>4</v>
      </c>
      <c r="F8">
        <v>850</v>
      </c>
      <c r="G8" s="57">
        <f>Q23</f>
        <v>0.56645339123749217</v>
      </c>
    </row>
    <row r="9" spans="1:18" x14ac:dyDescent="0.25">
      <c r="A9" t="s">
        <v>387</v>
      </c>
      <c r="B9" t="s">
        <v>388</v>
      </c>
      <c r="C9">
        <v>1662.29</v>
      </c>
      <c r="D9">
        <v>5</v>
      </c>
      <c r="E9">
        <v>5</v>
      </c>
      <c r="F9">
        <v>535</v>
      </c>
      <c r="G9" s="57">
        <f>Q29</f>
        <v>0.35433819375782666</v>
      </c>
    </row>
    <row r="11" spans="1:18" ht="15.75" thickBot="1" x14ac:dyDescent="0.3"/>
    <row r="12" spans="1:18" ht="15.75" thickBot="1" x14ac:dyDescent="0.3">
      <c r="C12" s="229" t="s">
        <v>153</v>
      </c>
      <c r="D12" s="230"/>
      <c r="E12" s="231"/>
      <c r="F12" s="193"/>
      <c r="G12" s="229" t="s">
        <v>154</v>
      </c>
      <c r="H12" s="230"/>
      <c r="I12" s="231"/>
      <c r="J12" s="229" t="s">
        <v>155</v>
      </c>
      <c r="K12" s="230"/>
      <c r="L12" s="231"/>
      <c r="M12" s="144" t="s">
        <v>369</v>
      </c>
      <c r="N12" s="144"/>
      <c r="O12" s="144"/>
    </row>
    <row r="13" spans="1:18" ht="15.75" thickBot="1" x14ac:dyDescent="0.3">
      <c r="A13" t="s">
        <v>157</v>
      </c>
      <c r="B13" t="s">
        <v>152</v>
      </c>
      <c r="C13" s="192" t="s">
        <v>362</v>
      </c>
      <c r="D13" s="193" t="s">
        <v>363</v>
      </c>
      <c r="E13" s="194" t="s">
        <v>364</v>
      </c>
      <c r="F13" s="193"/>
      <c r="G13" s="192" t="s">
        <v>362</v>
      </c>
      <c r="H13" s="193" t="s">
        <v>363</v>
      </c>
      <c r="I13" s="194" t="s">
        <v>364</v>
      </c>
      <c r="J13" s="192" t="s">
        <v>365</v>
      </c>
      <c r="K13" s="193" t="s">
        <v>366</v>
      </c>
      <c r="L13" s="194" t="s">
        <v>367</v>
      </c>
      <c r="M13" s="144" t="s">
        <v>368</v>
      </c>
      <c r="N13" s="144"/>
      <c r="O13" s="144"/>
    </row>
    <row r="14" spans="1:18" x14ac:dyDescent="0.25">
      <c r="A14" s="108" t="s">
        <v>42</v>
      </c>
      <c r="B14" s="109">
        <v>0.72361111111111109</v>
      </c>
      <c r="C14" s="113">
        <v>531.74</v>
      </c>
      <c r="D14" s="114">
        <v>162.56</v>
      </c>
      <c r="E14" s="115">
        <v>694.7</v>
      </c>
      <c r="F14" s="114"/>
      <c r="G14" s="113">
        <v>531.84</v>
      </c>
      <c r="H14" s="114">
        <v>162.97</v>
      </c>
      <c r="I14" s="115">
        <v>694.2</v>
      </c>
      <c r="J14" s="113">
        <f t="shared" ref="J14:J47" si="0">C14-G14</f>
        <v>-0.10000000000002274</v>
      </c>
      <c r="K14" s="114">
        <f t="shared" ref="K14:K47" si="1">D14-H14</f>
        <v>-0.40999999999999659</v>
      </c>
      <c r="L14" s="115">
        <f t="shared" ref="L14:L47" si="2">E14-I14</f>
        <v>0.5</v>
      </c>
      <c r="M14" s="133">
        <f>SQRT((C14-$C$2)^2+(D14-$D$2)^2+(E14-$E$2)^2)</f>
        <v>1085.6849275917946</v>
      </c>
      <c r="N14" s="133">
        <f>IF((ABS(L14)&gt;1)*AND(M14&gt;1700),1,0)</f>
        <v>0</v>
      </c>
      <c r="O14" s="133">
        <f>IF(M14&gt;1700,1,0)</f>
        <v>0</v>
      </c>
      <c r="P14" s="128" t="s">
        <v>158</v>
      </c>
      <c r="Q14">
        <v>0.71799999999996089</v>
      </c>
      <c r="R14">
        <v>-0.94200000000000728</v>
      </c>
    </row>
    <row r="15" spans="1:18" x14ac:dyDescent="0.25">
      <c r="A15" s="25" t="s">
        <v>356</v>
      </c>
      <c r="B15" s="5"/>
      <c r="C15" s="112">
        <v>529.26</v>
      </c>
      <c r="D15" s="116">
        <v>861.56</v>
      </c>
      <c r="E15" s="51">
        <v>694.51</v>
      </c>
      <c r="F15" s="116"/>
      <c r="G15" s="112">
        <v>529.25</v>
      </c>
      <c r="H15" s="116">
        <v>862.06</v>
      </c>
      <c r="I15" s="51">
        <v>693.36</v>
      </c>
      <c r="J15" s="112">
        <f t="shared" si="0"/>
        <v>9.9999999999909051E-3</v>
      </c>
      <c r="K15" s="116">
        <f t="shared" si="1"/>
        <v>-0.5</v>
      </c>
      <c r="L15" s="51">
        <f t="shared" si="2"/>
        <v>1.1499999999999773</v>
      </c>
      <c r="M15" s="133">
        <f t="shared" ref="M15:M47" si="3">SQRT((C15-$C$2)^2+(D15-$D$2)^2+(E15-$E$2)^2)</f>
        <v>1374.777579719716</v>
      </c>
      <c r="N15" s="133">
        <f t="shared" ref="N15:N47" si="4">IF((ABS(L15)&gt;1)*AND(M15&gt;1700),1,0)</f>
        <v>0</v>
      </c>
      <c r="O15" s="133">
        <f t="shared" ref="O15:O47" si="5">IF(M15&gt;1700,1,0)</f>
        <v>0</v>
      </c>
      <c r="P15" s="40" t="s">
        <v>159</v>
      </c>
      <c r="Q15" s="38">
        <v>1.2511182997622508</v>
      </c>
    </row>
    <row r="16" spans="1:18" x14ac:dyDescent="0.25">
      <c r="A16" s="25"/>
      <c r="B16" s="5"/>
      <c r="C16" s="112">
        <v>505.93</v>
      </c>
      <c r="D16" s="116">
        <v>1332.29</v>
      </c>
      <c r="E16" s="51">
        <v>693.97</v>
      </c>
      <c r="F16" s="116"/>
      <c r="G16" s="112">
        <v>505.88</v>
      </c>
      <c r="H16" s="116">
        <v>1332.82</v>
      </c>
      <c r="I16" s="51">
        <v>692.3</v>
      </c>
      <c r="J16" s="112">
        <f t="shared" si="0"/>
        <v>5.0000000000011369E-2</v>
      </c>
      <c r="K16" s="116">
        <f t="shared" si="1"/>
        <v>-0.52999999999997272</v>
      </c>
      <c r="L16" s="51">
        <f t="shared" si="2"/>
        <v>1.6700000000000728</v>
      </c>
      <c r="M16" s="133">
        <f t="shared" si="3"/>
        <v>1719.1352610833155</v>
      </c>
      <c r="N16" s="133">
        <f t="shared" si="4"/>
        <v>1</v>
      </c>
      <c r="O16" s="133">
        <f t="shared" si="5"/>
        <v>1</v>
      </c>
      <c r="P16" s="40" t="s">
        <v>160</v>
      </c>
      <c r="Q16" s="57">
        <f t="array" ref="Q16">AVERAGE(ABS(J14:J19))</f>
        <v>9.3333333333324234E-2</v>
      </c>
      <c r="R16" s="57">
        <f t="array" ref="R16">AVERAGE(ABS(K14:K19))</f>
        <v>0.38333333333333047</v>
      </c>
    </row>
    <row r="17" spans="1:18" x14ac:dyDescent="0.25">
      <c r="A17" s="25"/>
      <c r="B17" s="5"/>
      <c r="C17" s="112">
        <v>470.04</v>
      </c>
      <c r="D17" s="116">
        <v>-453.56</v>
      </c>
      <c r="E17" s="51">
        <v>694.21</v>
      </c>
      <c r="F17" s="116"/>
      <c r="G17" s="112">
        <v>470.15</v>
      </c>
      <c r="H17" s="116">
        <v>-453.39</v>
      </c>
      <c r="I17" s="51">
        <v>694.74</v>
      </c>
      <c r="J17" s="112">
        <f t="shared" si="0"/>
        <v>-0.1099999999999568</v>
      </c>
      <c r="K17" s="116">
        <f t="shared" si="1"/>
        <v>-0.17000000000001592</v>
      </c>
      <c r="L17" s="51">
        <f t="shared" si="2"/>
        <v>-0.52999999999997272</v>
      </c>
      <c r="M17" s="133">
        <f t="shared" si="3"/>
        <v>1212.5074820800078</v>
      </c>
      <c r="N17" s="133">
        <f t="shared" si="4"/>
        <v>0</v>
      </c>
      <c r="O17" s="133">
        <f t="shared" si="5"/>
        <v>0</v>
      </c>
      <c r="Q17" s="38">
        <f>SQRT(Q16^2+R16^2+S16^2)</f>
        <v>0.39453207164380394</v>
      </c>
    </row>
    <row r="18" spans="1:18" x14ac:dyDescent="0.25">
      <c r="A18" s="25"/>
      <c r="B18" s="5"/>
      <c r="C18" s="112">
        <v>470.2</v>
      </c>
      <c r="D18" s="116">
        <v>-453.43</v>
      </c>
      <c r="E18" s="51">
        <v>260.77</v>
      </c>
      <c r="F18" s="116"/>
      <c r="G18" s="112">
        <v>470.14</v>
      </c>
      <c r="H18" s="116">
        <v>-453.73</v>
      </c>
      <c r="I18" s="51">
        <v>261.19</v>
      </c>
      <c r="J18" s="112">
        <f t="shared" si="0"/>
        <v>6.0000000000002274E-2</v>
      </c>
      <c r="K18" s="116">
        <f t="shared" si="1"/>
        <v>0.30000000000001137</v>
      </c>
      <c r="L18" s="51">
        <f t="shared" si="2"/>
        <v>-0.42000000000001592</v>
      </c>
      <c r="M18" s="133">
        <f t="shared" si="3"/>
        <v>1029.6501762249156</v>
      </c>
      <c r="N18" s="133">
        <f t="shared" si="4"/>
        <v>0</v>
      </c>
      <c r="O18" s="133">
        <f t="shared" si="5"/>
        <v>0</v>
      </c>
      <c r="Q18" s="57"/>
      <c r="R18" s="57"/>
    </row>
    <row r="19" spans="1:18" ht="15.75" thickBot="1" x14ac:dyDescent="0.3">
      <c r="A19" s="27"/>
      <c r="B19" s="28"/>
      <c r="C19" s="117">
        <v>470.39</v>
      </c>
      <c r="D19" s="118">
        <v>-680.09</v>
      </c>
      <c r="E19" s="55">
        <v>111.58</v>
      </c>
      <c r="F19" s="118"/>
      <c r="G19" s="117">
        <v>470.16</v>
      </c>
      <c r="H19" s="118">
        <v>-680.48</v>
      </c>
      <c r="I19" s="55">
        <v>112.31</v>
      </c>
      <c r="J19" s="117">
        <f t="shared" si="0"/>
        <v>0.22999999999996135</v>
      </c>
      <c r="K19" s="118">
        <f t="shared" si="1"/>
        <v>0.38999999999998636</v>
      </c>
      <c r="L19" s="55">
        <f t="shared" si="2"/>
        <v>-0.73000000000000398</v>
      </c>
      <c r="M19" s="133">
        <f t="shared" si="3"/>
        <v>1124.9123029818816</v>
      </c>
      <c r="N19" s="133">
        <f t="shared" si="4"/>
        <v>0</v>
      </c>
      <c r="O19" s="133">
        <f t="shared" si="5"/>
        <v>0</v>
      </c>
    </row>
    <row r="20" spans="1:18" x14ac:dyDescent="0.25">
      <c r="A20" s="108" t="s">
        <v>43</v>
      </c>
      <c r="B20" s="109">
        <v>0.43124999999999997</v>
      </c>
      <c r="C20" s="113">
        <v>-21.32</v>
      </c>
      <c r="D20" s="114">
        <v>1135.83</v>
      </c>
      <c r="E20" s="115">
        <v>850.35</v>
      </c>
      <c r="F20" s="114"/>
      <c r="G20" s="113">
        <v>-21.1</v>
      </c>
      <c r="H20" s="114">
        <v>1137.07</v>
      </c>
      <c r="I20" s="115">
        <v>848.88</v>
      </c>
      <c r="J20" s="113">
        <f t="shared" si="0"/>
        <v>-0.21999999999999886</v>
      </c>
      <c r="K20" s="114">
        <f t="shared" si="1"/>
        <v>-1.2400000000000091</v>
      </c>
      <c r="L20" s="115">
        <f t="shared" si="2"/>
        <v>1.4700000000000273</v>
      </c>
      <c r="M20" s="133">
        <f t="shared" si="3"/>
        <v>1971.4602759883344</v>
      </c>
      <c r="N20" s="133">
        <f t="shared" si="4"/>
        <v>1</v>
      </c>
      <c r="O20" s="133">
        <f t="shared" si="5"/>
        <v>1</v>
      </c>
      <c r="P20" s="128" t="s">
        <v>158</v>
      </c>
      <c r="Q20">
        <v>0.65800000000001546</v>
      </c>
      <c r="R20">
        <v>-0.61200000000008004</v>
      </c>
    </row>
    <row r="21" spans="1:18" x14ac:dyDescent="0.25">
      <c r="A21" s="25" t="s">
        <v>355</v>
      </c>
      <c r="B21" s="5"/>
      <c r="C21" s="112">
        <v>759.54</v>
      </c>
      <c r="D21" s="116">
        <v>922.01</v>
      </c>
      <c r="E21" s="51">
        <v>487.27</v>
      </c>
      <c r="F21" s="116"/>
      <c r="G21" s="112">
        <v>759.79</v>
      </c>
      <c r="H21" s="116">
        <v>922.54</v>
      </c>
      <c r="I21" s="51">
        <v>485.74</v>
      </c>
      <c r="J21" s="112">
        <f t="shared" si="0"/>
        <v>-0.25</v>
      </c>
      <c r="K21" s="116">
        <f t="shared" si="1"/>
        <v>-0.52999999999997272</v>
      </c>
      <c r="L21" s="51">
        <f t="shared" si="2"/>
        <v>1.5299999999999727</v>
      </c>
      <c r="M21" s="133">
        <f t="shared" si="3"/>
        <v>1194.4786810152789</v>
      </c>
      <c r="N21" s="133">
        <f t="shared" si="4"/>
        <v>0</v>
      </c>
      <c r="O21" s="133">
        <f t="shared" si="5"/>
        <v>0</v>
      </c>
      <c r="P21" s="40" t="s">
        <v>159</v>
      </c>
      <c r="Q21" s="38">
        <v>0.91154648811792849</v>
      </c>
    </row>
    <row r="22" spans="1:18" x14ac:dyDescent="0.25">
      <c r="A22" s="25" t="s">
        <v>389</v>
      </c>
      <c r="B22" s="5">
        <f>C8</f>
        <v>1585.09</v>
      </c>
      <c r="C22" s="112">
        <v>492.76</v>
      </c>
      <c r="D22" s="116">
        <v>582.03</v>
      </c>
      <c r="E22" s="51">
        <v>297.85000000000002</v>
      </c>
      <c r="F22" s="116"/>
      <c r="G22" s="112">
        <v>492.85</v>
      </c>
      <c r="H22" s="116">
        <v>582.23</v>
      </c>
      <c r="I22" s="51">
        <v>296.89</v>
      </c>
      <c r="J22" s="112">
        <f t="shared" si="0"/>
        <v>-9.0000000000031832E-2</v>
      </c>
      <c r="K22" s="116">
        <f t="shared" si="1"/>
        <v>-0.20000000000004547</v>
      </c>
      <c r="L22" s="51">
        <f t="shared" si="2"/>
        <v>0.96000000000003638</v>
      </c>
      <c r="M22" s="133">
        <f t="shared" si="3"/>
        <v>1077.8789233490004</v>
      </c>
      <c r="N22" s="133">
        <f t="shared" si="4"/>
        <v>0</v>
      </c>
      <c r="O22" s="133">
        <f t="shared" si="5"/>
        <v>0</v>
      </c>
      <c r="P22" s="40" t="s">
        <v>160</v>
      </c>
      <c r="Q22" s="57">
        <f t="array" ref="Q22">AVERAGE(ABS(J20:J25))</f>
        <v>0.11333333333334632</v>
      </c>
      <c r="R22" s="57">
        <f t="array" ref="R22">AVERAGE(ABS(K20:K25))</f>
        <v>0.55500000000000715</v>
      </c>
    </row>
    <row r="23" spans="1:18" x14ac:dyDescent="0.25">
      <c r="A23" s="25"/>
      <c r="B23" s="5"/>
      <c r="C23" s="112">
        <v>105.51</v>
      </c>
      <c r="D23" s="116">
        <v>9.75</v>
      </c>
      <c r="E23" s="51">
        <v>662.05</v>
      </c>
      <c r="F23" s="116"/>
      <c r="G23" s="112">
        <v>105.47</v>
      </c>
      <c r="H23" s="116">
        <v>10.44</v>
      </c>
      <c r="I23" s="51">
        <v>662.07</v>
      </c>
      <c r="J23" s="112">
        <f t="shared" si="0"/>
        <v>4.0000000000006253E-2</v>
      </c>
      <c r="K23" s="116">
        <f t="shared" si="1"/>
        <v>-0.6899999999999995</v>
      </c>
      <c r="L23" s="51">
        <f t="shared" si="2"/>
        <v>-2.0000000000095497E-2</v>
      </c>
      <c r="M23" s="133">
        <f t="shared" si="3"/>
        <v>1412.1273906769177</v>
      </c>
      <c r="N23" s="133">
        <f t="shared" si="4"/>
        <v>0</v>
      </c>
      <c r="O23" s="133">
        <f t="shared" si="5"/>
        <v>0</v>
      </c>
      <c r="Q23" s="38">
        <f>SQRT(Q22^2+R22^2+S22^2)</f>
        <v>0.56645339123749217</v>
      </c>
    </row>
    <row r="24" spans="1:18" x14ac:dyDescent="0.25">
      <c r="A24" s="25"/>
      <c r="B24" s="5"/>
      <c r="C24" s="112">
        <v>841.29</v>
      </c>
      <c r="D24" s="116">
        <v>-143.25</v>
      </c>
      <c r="E24" s="51">
        <v>505.67</v>
      </c>
      <c r="F24" s="116"/>
      <c r="G24" s="112">
        <v>841.33</v>
      </c>
      <c r="H24" s="116">
        <v>-142.81</v>
      </c>
      <c r="I24" s="51">
        <v>505.73</v>
      </c>
      <c r="J24" s="112">
        <f t="shared" si="0"/>
        <v>-4.0000000000077307E-2</v>
      </c>
      <c r="K24" s="116">
        <f t="shared" si="1"/>
        <v>-0.43999999999999773</v>
      </c>
      <c r="L24" s="51">
        <f t="shared" si="2"/>
        <v>-6.0000000000002274E-2</v>
      </c>
      <c r="M24" s="133">
        <f t="shared" si="3"/>
        <v>733.01896312442022</v>
      </c>
      <c r="N24" s="133">
        <f t="shared" si="4"/>
        <v>0</v>
      </c>
      <c r="O24" s="133">
        <f t="shared" si="5"/>
        <v>0</v>
      </c>
    </row>
    <row r="25" spans="1:18" ht="15.75" thickBot="1" x14ac:dyDescent="0.3">
      <c r="A25" s="25"/>
      <c r="B25" s="5"/>
      <c r="C25" s="112">
        <v>684.51</v>
      </c>
      <c r="D25" s="116">
        <v>-817.69</v>
      </c>
      <c r="E25" s="51">
        <v>504.66</v>
      </c>
      <c r="F25" s="116"/>
      <c r="G25" s="112">
        <v>684.47</v>
      </c>
      <c r="H25" s="116">
        <v>-817.46</v>
      </c>
      <c r="I25" s="51">
        <v>505.93</v>
      </c>
      <c r="J25" s="112">
        <f t="shared" si="0"/>
        <v>3.999999999996362E-2</v>
      </c>
      <c r="K25" s="116">
        <f t="shared" si="1"/>
        <v>-0.23000000000001819</v>
      </c>
      <c r="L25" s="51">
        <f t="shared" si="2"/>
        <v>-1.2699999999999818</v>
      </c>
      <c r="M25" s="133">
        <f t="shared" si="3"/>
        <v>1174.00989527346</v>
      </c>
      <c r="N25" s="133">
        <f t="shared" si="4"/>
        <v>0</v>
      </c>
      <c r="O25" s="133">
        <f t="shared" si="5"/>
        <v>0</v>
      </c>
    </row>
    <row r="26" spans="1:18" x14ac:dyDescent="0.25">
      <c r="A26" s="21"/>
      <c r="B26" s="109">
        <v>0.46249999999999997</v>
      </c>
      <c r="C26" s="113">
        <v>-15.18</v>
      </c>
      <c r="D26" s="114">
        <v>1137.1500000000001</v>
      </c>
      <c r="E26" s="115">
        <v>535.37</v>
      </c>
      <c r="F26" s="114"/>
      <c r="G26" s="113">
        <v>-15.23</v>
      </c>
      <c r="H26" s="114">
        <v>1137.7</v>
      </c>
      <c r="I26" s="115">
        <v>533.80999999999995</v>
      </c>
      <c r="J26" s="113">
        <f t="shared" si="0"/>
        <v>5.0000000000000711E-2</v>
      </c>
      <c r="K26" s="114">
        <f t="shared" si="1"/>
        <v>-0.54999999999995453</v>
      </c>
      <c r="L26" s="115">
        <f t="shared" si="2"/>
        <v>1.5600000000000591</v>
      </c>
      <c r="M26" s="133">
        <f t="shared" si="3"/>
        <v>1854.574525059589</v>
      </c>
      <c r="N26" s="133">
        <f t="shared" si="4"/>
        <v>1</v>
      </c>
      <c r="O26" s="133">
        <f t="shared" si="5"/>
        <v>1</v>
      </c>
      <c r="P26" s="128" t="s">
        <v>158</v>
      </c>
      <c r="Q26">
        <v>0.71799999999996089</v>
      </c>
      <c r="R26">
        <v>-0.82200000000011642</v>
      </c>
    </row>
    <row r="27" spans="1:18" x14ac:dyDescent="0.25">
      <c r="A27" s="25" t="s">
        <v>354</v>
      </c>
      <c r="B27" s="5"/>
      <c r="C27" s="112">
        <v>742.9</v>
      </c>
      <c r="D27" s="116">
        <v>1061.8800000000001</v>
      </c>
      <c r="E27" s="51">
        <v>347.15</v>
      </c>
      <c r="F27" s="116"/>
      <c r="G27" s="112">
        <v>742.9</v>
      </c>
      <c r="H27" s="116">
        <v>1062.22</v>
      </c>
      <c r="I27" s="51">
        <v>345.41</v>
      </c>
      <c r="J27" s="112">
        <f t="shared" si="0"/>
        <v>0</v>
      </c>
      <c r="K27" s="116">
        <f t="shared" si="1"/>
        <v>-0.33999999999991815</v>
      </c>
      <c r="L27" s="51">
        <f t="shared" si="2"/>
        <v>1.7399999999999523</v>
      </c>
      <c r="M27" s="133">
        <f t="shared" si="3"/>
        <v>1267.7456174248839</v>
      </c>
      <c r="N27" s="133">
        <f t="shared" si="4"/>
        <v>0</v>
      </c>
      <c r="O27" s="133">
        <f t="shared" si="5"/>
        <v>0</v>
      </c>
      <c r="P27" s="40" t="s">
        <v>159</v>
      </c>
      <c r="Q27" s="38">
        <v>1.1120148380305572</v>
      </c>
    </row>
    <row r="28" spans="1:18" x14ac:dyDescent="0.25">
      <c r="A28" s="25" t="s">
        <v>389</v>
      </c>
      <c r="B28" s="5">
        <f>C9</f>
        <v>1662.29</v>
      </c>
      <c r="C28" s="112">
        <v>494.11</v>
      </c>
      <c r="D28" s="116">
        <v>527.05999999999995</v>
      </c>
      <c r="E28" s="51">
        <v>584.58000000000004</v>
      </c>
      <c r="F28" s="116"/>
      <c r="G28" s="112">
        <v>494.11</v>
      </c>
      <c r="H28" s="116">
        <v>527.61</v>
      </c>
      <c r="I28" s="51">
        <v>583.64</v>
      </c>
      <c r="J28" s="112">
        <f t="shared" si="0"/>
        <v>0</v>
      </c>
      <c r="K28" s="116">
        <f t="shared" si="1"/>
        <v>-0.55000000000006821</v>
      </c>
      <c r="L28" s="51">
        <f t="shared" si="2"/>
        <v>0.94000000000005457</v>
      </c>
      <c r="M28" s="133">
        <f t="shared" si="3"/>
        <v>1161.6110891774406</v>
      </c>
      <c r="N28" s="133">
        <f t="shared" si="4"/>
        <v>0</v>
      </c>
      <c r="O28" s="133">
        <f t="shared" si="5"/>
        <v>0</v>
      </c>
      <c r="P28" s="40" t="s">
        <v>160</v>
      </c>
      <c r="Q28" s="57">
        <f t="array" ref="Q28">AVERAGE(ABS(J26:J31))</f>
        <v>2.6666666666676164E-2</v>
      </c>
      <c r="R28" s="57">
        <f t="array" ref="R28">AVERAGE(ABS(K26:K31))</f>
        <v>0.35333333333333766</v>
      </c>
    </row>
    <row r="29" spans="1:18" x14ac:dyDescent="0.25">
      <c r="A29" s="25"/>
      <c r="B29" s="5"/>
      <c r="C29" s="112">
        <v>807.49</v>
      </c>
      <c r="D29" s="116">
        <v>-226.24</v>
      </c>
      <c r="E29" s="51">
        <v>592.1</v>
      </c>
      <c r="F29" s="116"/>
      <c r="G29" s="112">
        <v>807.47</v>
      </c>
      <c r="H29" s="116">
        <v>-225.78</v>
      </c>
      <c r="I29" s="51">
        <v>592.26</v>
      </c>
      <c r="J29" s="112">
        <f t="shared" si="0"/>
        <v>1.999999999998181E-2</v>
      </c>
      <c r="K29" s="116">
        <f t="shared" si="1"/>
        <v>-0.46000000000000796</v>
      </c>
      <c r="L29" s="51">
        <f t="shared" si="2"/>
        <v>-0.15999999999996817</v>
      </c>
      <c r="M29" s="133">
        <f t="shared" si="3"/>
        <v>835.99817493819933</v>
      </c>
      <c r="N29" s="133">
        <f t="shared" si="4"/>
        <v>0</v>
      </c>
      <c r="O29" s="133">
        <f t="shared" si="5"/>
        <v>0</v>
      </c>
      <c r="Q29" s="38">
        <f>SQRT(Q28^2+R28^2+S28^2)</f>
        <v>0.35433819375782666</v>
      </c>
    </row>
    <row r="30" spans="1:18" x14ac:dyDescent="0.25">
      <c r="A30" s="25"/>
      <c r="B30" s="5"/>
      <c r="C30" s="112">
        <v>518.95000000000005</v>
      </c>
      <c r="D30" s="116">
        <v>-670.94</v>
      </c>
      <c r="E30" s="51">
        <v>419.12</v>
      </c>
      <c r="F30" s="116"/>
      <c r="G30" s="112">
        <v>518.91999999999996</v>
      </c>
      <c r="H30" s="116">
        <v>-670.77</v>
      </c>
      <c r="I30" s="51">
        <v>420.11</v>
      </c>
      <c r="J30" s="112">
        <f t="shared" si="0"/>
        <v>3.0000000000086402E-2</v>
      </c>
      <c r="K30" s="116">
        <f t="shared" si="1"/>
        <v>-0.17000000000007276</v>
      </c>
      <c r="L30" s="51">
        <f t="shared" si="2"/>
        <v>-0.99000000000000909</v>
      </c>
      <c r="M30" s="133">
        <f t="shared" si="3"/>
        <v>1153.0360437124245</v>
      </c>
      <c r="N30" s="133">
        <f t="shared" si="4"/>
        <v>0</v>
      </c>
      <c r="O30" s="133">
        <f t="shared" si="5"/>
        <v>0</v>
      </c>
    </row>
    <row r="31" spans="1:18" ht="15.75" thickBot="1" x14ac:dyDescent="0.3">
      <c r="A31" s="27"/>
      <c r="B31" s="110"/>
      <c r="C31" s="117">
        <v>99.71</v>
      </c>
      <c r="D31" s="118">
        <v>-41.94</v>
      </c>
      <c r="E31" s="55">
        <v>229.54</v>
      </c>
      <c r="F31" s="118"/>
      <c r="G31" s="117">
        <v>99.65</v>
      </c>
      <c r="H31" s="118">
        <v>-41.99</v>
      </c>
      <c r="I31" s="55">
        <v>229.59</v>
      </c>
      <c r="J31" s="117">
        <f t="shared" si="0"/>
        <v>5.9999999999988063E-2</v>
      </c>
      <c r="K31" s="118">
        <f t="shared" si="1"/>
        <v>5.0000000000004263E-2</v>
      </c>
      <c r="L31" s="55">
        <f t="shared" si="2"/>
        <v>-5.0000000000011369E-2</v>
      </c>
      <c r="M31" s="133">
        <f t="shared" si="3"/>
        <v>1276.5674747932442</v>
      </c>
      <c r="N31" s="133">
        <f t="shared" si="4"/>
        <v>0</v>
      </c>
      <c r="O31" s="133">
        <f t="shared" si="5"/>
        <v>0</v>
      </c>
    </row>
    <row r="32" spans="1:18" x14ac:dyDescent="0.25">
      <c r="A32" s="108" t="s">
        <v>44</v>
      </c>
      <c r="B32" s="109">
        <v>0.60555555555555551</v>
      </c>
      <c r="C32" s="113">
        <v>771.6</v>
      </c>
      <c r="D32" s="114">
        <v>-271.52</v>
      </c>
      <c r="E32" s="115">
        <v>553.97</v>
      </c>
      <c r="F32" s="114"/>
      <c r="G32" s="113">
        <v>771.11</v>
      </c>
      <c r="H32" s="114">
        <v>-272.27999999999997</v>
      </c>
      <c r="I32" s="115">
        <v>554.29999999999995</v>
      </c>
      <c r="J32" s="113">
        <f t="shared" si="0"/>
        <v>0.49000000000000909</v>
      </c>
      <c r="K32" s="114">
        <f t="shared" si="1"/>
        <v>0.75999999999999091</v>
      </c>
      <c r="L32" s="115">
        <f t="shared" si="2"/>
        <v>-0.32999999999992724</v>
      </c>
      <c r="M32" s="133">
        <f t="shared" si="3"/>
        <v>848.10253560521801</v>
      </c>
      <c r="N32" s="133">
        <f t="shared" si="4"/>
        <v>0</v>
      </c>
      <c r="O32" s="133">
        <f t="shared" si="5"/>
        <v>0</v>
      </c>
      <c r="P32" s="128" t="s">
        <v>158</v>
      </c>
      <c r="Q32">
        <v>0.17799999999999727</v>
      </c>
      <c r="R32">
        <v>-0.25200000000018008</v>
      </c>
    </row>
    <row r="33" spans="1:18" x14ac:dyDescent="0.25">
      <c r="A33" s="25" t="s">
        <v>355</v>
      </c>
      <c r="B33" s="5"/>
      <c r="C33" s="112">
        <v>424.14</v>
      </c>
      <c r="D33" s="116">
        <v>-271.56</v>
      </c>
      <c r="E33" s="51">
        <v>171.61</v>
      </c>
      <c r="F33" s="116"/>
      <c r="G33" s="112">
        <v>423.8</v>
      </c>
      <c r="H33" s="116">
        <v>-271.88</v>
      </c>
      <c r="I33" s="51">
        <v>171.76</v>
      </c>
      <c r="J33" s="112">
        <f t="shared" si="0"/>
        <v>0.33999999999997499</v>
      </c>
      <c r="K33" s="116">
        <f t="shared" si="1"/>
        <v>0.31999999999999318</v>
      </c>
      <c r="L33" s="51">
        <f t="shared" si="2"/>
        <v>-0.14999999999997726</v>
      </c>
      <c r="M33" s="133">
        <f t="shared" si="3"/>
        <v>985.97940551514569</v>
      </c>
      <c r="N33" s="133">
        <f t="shared" si="4"/>
        <v>0</v>
      </c>
      <c r="O33" s="133">
        <f t="shared" si="5"/>
        <v>0</v>
      </c>
      <c r="P33" s="40" t="s">
        <v>159</v>
      </c>
      <c r="Q33" s="38">
        <v>0.35371881487997681</v>
      </c>
    </row>
    <row r="34" spans="1:18" x14ac:dyDescent="0.25">
      <c r="A34" s="25" t="s">
        <v>389</v>
      </c>
      <c r="B34" s="5">
        <f>C4</f>
        <v>1290.8</v>
      </c>
      <c r="C34" s="112">
        <v>423.74</v>
      </c>
      <c r="D34" s="116">
        <v>430.82</v>
      </c>
      <c r="E34" s="51">
        <v>530.57000000000005</v>
      </c>
      <c r="F34" s="116"/>
      <c r="G34" s="112">
        <v>423.27</v>
      </c>
      <c r="H34" s="116">
        <v>430.25</v>
      </c>
      <c r="I34" s="51">
        <v>531.45000000000005</v>
      </c>
      <c r="J34" s="112">
        <f t="shared" si="0"/>
        <v>0.47000000000002728</v>
      </c>
      <c r="K34" s="116">
        <f t="shared" si="1"/>
        <v>0.56999999999999318</v>
      </c>
      <c r="L34" s="51">
        <f t="shared" si="2"/>
        <v>-0.87999999999999545</v>
      </c>
      <c r="M34" s="133">
        <f t="shared" si="3"/>
        <v>1150.9987036048303</v>
      </c>
      <c r="N34" s="133">
        <f t="shared" si="4"/>
        <v>0</v>
      </c>
      <c r="O34" s="133">
        <f t="shared" si="5"/>
        <v>0</v>
      </c>
      <c r="P34" s="40" t="s">
        <v>160</v>
      </c>
      <c r="Q34" s="57">
        <f t="array" ref="Q34">AVERAGE(ABS(J32:J37))</f>
        <v>0.43500000000000699</v>
      </c>
      <c r="R34" s="57">
        <f t="array" ref="R34">AVERAGE(ABS(K32:K37))</f>
        <v>0.43833333333332308</v>
      </c>
    </row>
    <row r="35" spans="1:18" x14ac:dyDescent="0.25">
      <c r="A35" s="25"/>
      <c r="B35" s="5"/>
      <c r="C35" s="112">
        <v>745.55</v>
      </c>
      <c r="D35" s="116">
        <v>333.06</v>
      </c>
      <c r="E35" s="51">
        <v>623.17999999999995</v>
      </c>
      <c r="F35" s="116"/>
      <c r="G35" s="112">
        <v>744.88</v>
      </c>
      <c r="H35" s="116">
        <v>332.64</v>
      </c>
      <c r="I35" s="51">
        <v>624.15</v>
      </c>
      <c r="J35" s="112">
        <f t="shared" si="0"/>
        <v>0.66999999999995907</v>
      </c>
      <c r="K35" s="116">
        <f t="shared" si="1"/>
        <v>0.42000000000001592</v>
      </c>
      <c r="L35" s="51">
        <f t="shared" si="2"/>
        <v>-0.97000000000002728</v>
      </c>
      <c r="M35" s="133">
        <f t="shared" si="3"/>
        <v>927.95741502506462</v>
      </c>
      <c r="N35" s="133">
        <f t="shared" si="4"/>
        <v>0</v>
      </c>
      <c r="O35" s="133">
        <f t="shared" si="5"/>
        <v>0</v>
      </c>
      <c r="Q35" s="38">
        <f>SQRT(Q34^2+R34^2+S34^2)</f>
        <v>0.61754442035460755</v>
      </c>
    </row>
    <row r="36" spans="1:18" x14ac:dyDescent="0.25">
      <c r="A36" s="25"/>
      <c r="B36" s="5"/>
      <c r="C36" s="112">
        <v>654.70000000000005</v>
      </c>
      <c r="D36" s="116">
        <v>870.68</v>
      </c>
      <c r="E36" s="51">
        <v>502.63</v>
      </c>
      <c r="F36" s="116"/>
      <c r="G36" s="112">
        <v>654.4</v>
      </c>
      <c r="H36" s="116">
        <v>870.25</v>
      </c>
      <c r="I36" s="51">
        <v>504.15</v>
      </c>
      <c r="J36" s="112">
        <f t="shared" si="0"/>
        <v>0.30000000000006821</v>
      </c>
      <c r="K36" s="116">
        <f t="shared" si="1"/>
        <v>0.42999999999994998</v>
      </c>
      <c r="L36" s="51">
        <f t="shared" si="2"/>
        <v>-1.5199999999999818</v>
      </c>
      <c r="M36" s="133">
        <f t="shared" si="3"/>
        <v>1219.1684448426313</v>
      </c>
      <c r="N36" s="133">
        <f t="shared" si="4"/>
        <v>0</v>
      </c>
      <c r="O36" s="133">
        <f t="shared" si="5"/>
        <v>0</v>
      </c>
    </row>
    <row r="37" spans="1:18" x14ac:dyDescent="0.25">
      <c r="A37" s="25"/>
      <c r="B37" s="5"/>
      <c r="C37" s="112">
        <v>150.9</v>
      </c>
      <c r="D37" s="116">
        <v>918.63</v>
      </c>
      <c r="E37" s="51">
        <v>379.23</v>
      </c>
      <c r="F37" s="116"/>
      <c r="G37" s="112">
        <v>150.56</v>
      </c>
      <c r="H37" s="116">
        <v>918.5</v>
      </c>
      <c r="I37" s="51">
        <v>380.52</v>
      </c>
      <c r="J37" s="112">
        <f t="shared" si="0"/>
        <v>0.34000000000000341</v>
      </c>
      <c r="K37" s="116">
        <f t="shared" si="1"/>
        <v>0.12999999999999545</v>
      </c>
      <c r="L37" s="51">
        <f t="shared" si="2"/>
        <v>-1.2899999999999636</v>
      </c>
      <c r="M37" s="133">
        <f t="shared" si="3"/>
        <v>1556.8899779367841</v>
      </c>
      <c r="N37" s="133">
        <f t="shared" si="4"/>
        <v>0</v>
      </c>
      <c r="O37" s="133">
        <f t="shared" si="5"/>
        <v>0</v>
      </c>
    </row>
    <row r="38" spans="1:18" x14ac:dyDescent="0.25">
      <c r="A38" s="25"/>
      <c r="B38" s="5"/>
      <c r="C38" s="112">
        <v>721.35</v>
      </c>
      <c r="D38" s="116">
        <v>-710.48</v>
      </c>
      <c r="E38" s="51">
        <v>641.21</v>
      </c>
      <c r="F38" s="116"/>
      <c r="G38" s="112">
        <v>720.48</v>
      </c>
      <c r="H38" s="116">
        <v>-711.18</v>
      </c>
      <c r="I38" s="51">
        <v>641.13</v>
      </c>
      <c r="J38" s="112">
        <f t="shared" si="0"/>
        <v>0.87000000000000455</v>
      </c>
      <c r="K38" s="116">
        <f t="shared" si="1"/>
        <v>0.69999999999993179</v>
      </c>
      <c r="L38" s="51">
        <f t="shared" si="2"/>
        <v>8.0000000000040927E-2</v>
      </c>
      <c r="M38" s="133">
        <f t="shared" si="3"/>
        <v>1149.0005424715866</v>
      </c>
      <c r="N38" s="133">
        <f t="shared" si="4"/>
        <v>0</v>
      </c>
      <c r="O38" s="133">
        <f t="shared" si="5"/>
        <v>0</v>
      </c>
    </row>
    <row r="39" spans="1:18" ht="15.75" thickBot="1" x14ac:dyDescent="0.3">
      <c r="A39" s="27"/>
      <c r="B39" s="28"/>
      <c r="C39" s="117">
        <v>1467.66</v>
      </c>
      <c r="D39" s="118">
        <v>-713.13</v>
      </c>
      <c r="E39" s="55">
        <v>523.33000000000004</v>
      </c>
      <c r="F39" s="118"/>
      <c r="G39" s="117">
        <v>1467.02</v>
      </c>
      <c r="H39" s="118">
        <v>-713.87</v>
      </c>
      <c r="I39" s="55">
        <v>523.94000000000005</v>
      </c>
      <c r="J39" s="117">
        <f t="shared" si="0"/>
        <v>0.64000000000010004</v>
      </c>
      <c r="K39" s="118">
        <f t="shared" si="1"/>
        <v>0.74000000000000909</v>
      </c>
      <c r="L39" s="55">
        <f t="shared" si="2"/>
        <v>-0.61000000000001364</v>
      </c>
      <c r="M39" s="133">
        <f t="shared" si="3"/>
        <v>893.53387501537952</v>
      </c>
      <c r="N39" s="133">
        <f t="shared" si="4"/>
        <v>0</v>
      </c>
      <c r="O39" s="133">
        <f t="shared" si="5"/>
        <v>0</v>
      </c>
    </row>
    <row r="40" spans="1:18" x14ac:dyDescent="0.25">
      <c r="A40" s="21"/>
      <c r="B40" s="109">
        <v>0.61319444444444449</v>
      </c>
      <c r="C40" s="113">
        <v>1794.34</v>
      </c>
      <c r="D40" s="114">
        <v>-840.95</v>
      </c>
      <c r="E40" s="115">
        <v>563.33000000000004</v>
      </c>
      <c r="F40" s="114"/>
      <c r="G40" s="113">
        <v>1793.77</v>
      </c>
      <c r="H40" s="114">
        <v>-841.84</v>
      </c>
      <c r="I40" s="115">
        <v>564.1</v>
      </c>
      <c r="J40" s="113">
        <f t="shared" si="0"/>
        <v>0.56999999999993634</v>
      </c>
      <c r="K40" s="114">
        <f t="shared" si="1"/>
        <v>0.88999999999998636</v>
      </c>
      <c r="L40" s="115">
        <f t="shared" si="2"/>
        <v>-0.76999999999998181</v>
      </c>
      <c r="M40" s="133">
        <f t="shared" si="3"/>
        <v>1105.2928778382677</v>
      </c>
      <c r="N40" s="133">
        <f t="shared" si="4"/>
        <v>0</v>
      </c>
      <c r="O40" s="133">
        <f t="shared" si="5"/>
        <v>0</v>
      </c>
      <c r="P40" s="128" t="s">
        <v>158</v>
      </c>
      <c r="Q40">
        <v>0.37800000000004275</v>
      </c>
      <c r="R40">
        <v>-0.40200000000004366</v>
      </c>
    </row>
    <row r="41" spans="1:18" x14ac:dyDescent="0.25">
      <c r="A41" s="25" t="s">
        <v>354</v>
      </c>
      <c r="B41" s="5"/>
      <c r="C41" s="112">
        <v>723.61</v>
      </c>
      <c r="D41" s="116">
        <v>1009.41</v>
      </c>
      <c r="E41" s="51">
        <v>439.3</v>
      </c>
      <c r="F41" s="116"/>
      <c r="G41" s="112">
        <v>723.24</v>
      </c>
      <c r="H41" s="116">
        <v>1009.35</v>
      </c>
      <c r="I41" s="51">
        <v>441.19</v>
      </c>
      <c r="J41" s="112">
        <f t="shared" si="0"/>
        <v>0.37000000000000455</v>
      </c>
      <c r="K41" s="116">
        <f t="shared" si="1"/>
        <v>5.999999999994543E-2</v>
      </c>
      <c r="L41" s="51">
        <f t="shared" si="2"/>
        <v>-1.8899999999999864</v>
      </c>
      <c r="M41" s="133">
        <f t="shared" si="3"/>
        <v>1262.8074043970441</v>
      </c>
      <c r="N41" s="133">
        <f t="shared" si="4"/>
        <v>0</v>
      </c>
      <c r="O41" s="133">
        <f t="shared" si="5"/>
        <v>0</v>
      </c>
      <c r="P41" s="40" t="s">
        <v>159</v>
      </c>
      <c r="Q41" s="38">
        <v>0.55434375616585474</v>
      </c>
    </row>
    <row r="42" spans="1:18" x14ac:dyDescent="0.25">
      <c r="A42" s="25" t="s">
        <v>389</v>
      </c>
      <c r="B42" s="5">
        <f>C4</f>
        <v>1290.8</v>
      </c>
      <c r="C42" s="112">
        <v>769.24</v>
      </c>
      <c r="D42" s="116">
        <v>-107.16</v>
      </c>
      <c r="E42" s="51">
        <v>442.64</v>
      </c>
      <c r="F42" s="116"/>
      <c r="G42" s="112">
        <v>768.61</v>
      </c>
      <c r="H42" s="116">
        <v>-107.5</v>
      </c>
      <c r="I42" s="51">
        <v>443.23</v>
      </c>
      <c r="J42" s="112">
        <f t="shared" si="0"/>
        <v>0.62999999999999545</v>
      </c>
      <c r="K42" s="116">
        <f t="shared" si="1"/>
        <v>0.34000000000000341</v>
      </c>
      <c r="L42" s="51">
        <f t="shared" si="2"/>
        <v>-0.59000000000003183</v>
      </c>
      <c r="M42" s="133">
        <f t="shared" si="3"/>
        <v>740.26201010182876</v>
      </c>
      <c r="N42" s="133">
        <f t="shared" si="4"/>
        <v>0</v>
      </c>
      <c r="O42" s="133">
        <f t="shared" si="5"/>
        <v>0</v>
      </c>
      <c r="P42" s="40" t="s">
        <v>160</v>
      </c>
      <c r="Q42" s="57">
        <f t="array" ref="Q42">AVERAGE(ABS(J40:J47))</f>
        <v>0.49250000000000593</v>
      </c>
      <c r="R42" s="57">
        <f t="array" ref="R42">AVERAGE(ABS(K40:K47))</f>
        <v>0.33124999999998828</v>
      </c>
    </row>
    <row r="43" spans="1:18" x14ac:dyDescent="0.25">
      <c r="A43" s="25"/>
      <c r="B43" s="5"/>
      <c r="C43" s="112">
        <v>215.69</v>
      </c>
      <c r="D43" s="116">
        <v>74.75</v>
      </c>
      <c r="E43" s="51">
        <v>252.43</v>
      </c>
      <c r="F43" s="116"/>
      <c r="G43" s="112">
        <v>215.27</v>
      </c>
      <c r="H43" s="116">
        <v>74.67</v>
      </c>
      <c r="I43" s="51">
        <v>252.69</v>
      </c>
      <c r="J43" s="112">
        <f t="shared" si="0"/>
        <v>0.41999999999998749</v>
      </c>
      <c r="K43" s="116">
        <f t="shared" si="1"/>
        <v>7.9999999999998295E-2</v>
      </c>
      <c r="L43" s="51">
        <f t="shared" si="2"/>
        <v>-0.25999999999999091</v>
      </c>
      <c r="M43" s="133">
        <f t="shared" si="3"/>
        <v>1168.3423386576385</v>
      </c>
      <c r="N43" s="133">
        <f t="shared" si="4"/>
        <v>0</v>
      </c>
      <c r="O43" s="133">
        <f t="shared" si="5"/>
        <v>0</v>
      </c>
      <c r="Q43" s="38">
        <f>SQRT(Q42^2+R42^2+S42^2)</f>
        <v>0.59353417129934327</v>
      </c>
    </row>
    <row r="44" spans="1:18" x14ac:dyDescent="0.25">
      <c r="A44" s="25"/>
      <c r="B44" s="5"/>
      <c r="C44" s="112">
        <v>366.68</v>
      </c>
      <c r="D44" s="116">
        <v>448.29</v>
      </c>
      <c r="E44" s="51">
        <v>458.72</v>
      </c>
      <c r="F44" s="116"/>
      <c r="G44" s="112">
        <v>366.19</v>
      </c>
      <c r="H44" s="116">
        <v>447.89</v>
      </c>
      <c r="I44" s="51">
        <v>459.56</v>
      </c>
      <c r="J44" s="112">
        <f t="shared" si="0"/>
        <v>0.49000000000000909</v>
      </c>
      <c r="K44" s="116">
        <f t="shared" si="1"/>
        <v>0.40000000000003411</v>
      </c>
      <c r="L44" s="51">
        <f t="shared" si="2"/>
        <v>-0.83999999999997499</v>
      </c>
      <c r="M44" s="133">
        <f t="shared" si="3"/>
        <v>1174.3799091009689</v>
      </c>
      <c r="N44" s="133">
        <f t="shared" si="4"/>
        <v>0</v>
      </c>
      <c r="O44" s="133">
        <f t="shared" si="5"/>
        <v>0</v>
      </c>
    </row>
    <row r="45" spans="1:18" x14ac:dyDescent="0.25">
      <c r="A45" s="25"/>
      <c r="B45" s="111"/>
      <c r="C45" s="112">
        <v>811</v>
      </c>
      <c r="D45" s="116">
        <v>779.16</v>
      </c>
      <c r="E45" s="51">
        <v>488.22</v>
      </c>
      <c r="F45" s="116"/>
      <c r="G45" s="112">
        <v>810.56</v>
      </c>
      <c r="H45" s="116">
        <v>778.79</v>
      </c>
      <c r="I45" s="51">
        <v>489.8</v>
      </c>
      <c r="J45" s="112">
        <f t="shared" si="0"/>
        <v>0.44000000000005457</v>
      </c>
      <c r="K45" s="116">
        <f t="shared" si="1"/>
        <v>0.37000000000000455</v>
      </c>
      <c r="L45" s="51">
        <f t="shared" si="2"/>
        <v>-1.5799999999999841</v>
      </c>
      <c r="M45" s="133">
        <f t="shared" si="3"/>
        <v>1061.9390969354126</v>
      </c>
      <c r="N45" s="133">
        <f t="shared" si="4"/>
        <v>0</v>
      </c>
      <c r="O45" s="133">
        <f t="shared" si="5"/>
        <v>0</v>
      </c>
    </row>
    <row r="46" spans="1:18" x14ac:dyDescent="0.25">
      <c r="A46" s="25"/>
      <c r="B46" s="5"/>
      <c r="C46" s="112">
        <v>822.87</v>
      </c>
      <c r="D46" s="116">
        <v>467.12</v>
      </c>
      <c r="E46" s="51">
        <v>574.25</v>
      </c>
      <c r="F46" s="116"/>
      <c r="G46" s="112">
        <v>822.31</v>
      </c>
      <c r="H46" s="116">
        <v>466.7</v>
      </c>
      <c r="I46" s="51">
        <v>575.41999999999996</v>
      </c>
      <c r="J46" s="112">
        <f t="shared" si="0"/>
        <v>0.56000000000005912</v>
      </c>
      <c r="K46" s="116">
        <f t="shared" si="1"/>
        <v>0.42000000000001592</v>
      </c>
      <c r="L46" s="51">
        <f t="shared" si="2"/>
        <v>-1.1699999999999591</v>
      </c>
      <c r="M46" s="133">
        <f t="shared" si="3"/>
        <v>905.72033487164231</v>
      </c>
      <c r="N46" s="133">
        <f t="shared" si="4"/>
        <v>0</v>
      </c>
      <c r="O46" s="133">
        <f t="shared" si="5"/>
        <v>0</v>
      </c>
    </row>
    <row r="47" spans="1:18" ht="15.75" thickBot="1" x14ac:dyDescent="0.3">
      <c r="A47" s="27"/>
      <c r="B47" s="28"/>
      <c r="C47" s="117">
        <v>-20.23</v>
      </c>
      <c r="D47" s="118">
        <v>1015.33</v>
      </c>
      <c r="E47" s="55">
        <v>482.5</v>
      </c>
      <c r="F47" s="118"/>
      <c r="G47" s="117">
        <v>-20.69</v>
      </c>
      <c r="H47" s="118">
        <v>1015.42</v>
      </c>
      <c r="I47" s="55">
        <v>483.87</v>
      </c>
      <c r="J47" s="117">
        <f t="shared" si="0"/>
        <v>0.46000000000000085</v>
      </c>
      <c r="K47" s="118">
        <f t="shared" si="1"/>
        <v>-8.9999999999918145E-2</v>
      </c>
      <c r="L47" s="55">
        <f t="shared" si="2"/>
        <v>-1.3700000000000045</v>
      </c>
      <c r="M47" s="133">
        <f t="shared" si="3"/>
        <v>1771.8002920758311</v>
      </c>
      <c r="N47" s="133">
        <f t="shared" si="4"/>
        <v>1</v>
      </c>
      <c r="O47" s="133">
        <f t="shared" si="5"/>
        <v>1</v>
      </c>
    </row>
  </sheetData>
  <mergeCells count="3">
    <mergeCell ref="C12:E12"/>
    <mergeCell ref="G12:I12"/>
    <mergeCell ref="J12:L12"/>
  </mergeCells>
  <conditionalFormatting sqref="J14:L47">
    <cfRule type="cellIs" dxfId="3" priority="3" operator="lessThan">
      <formula>-1</formula>
    </cfRule>
    <cfRule type="cellIs" dxfId="2" priority="4" operator="greaterThan">
      <formula>1</formula>
    </cfRule>
  </conditionalFormatting>
  <conditionalFormatting sqref="K23">
    <cfRule type="cellIs" dxfId="1" priority="2" operator="greaterThan">
      <formula>0.6</formula>
    </cfRule>
  </conditionalFormatting>
  <conditionalFormatting sqref="M14:O47">
    <cfRule type="cellIs" dxfId="0" priority="1" operator="greaterThan">
      <formula>1700</formula>
    </cfRule>
  </conditionalFormatting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E770-9223-4464-B8BA-AF7439322511}">
  <dimension ref="A1:R69"/>
  <sheetViews>
    <sheetView topLeftCell="C49" workbookViewId="0">
      <selection activeCell="L56" sqref="L56"/>
    </sheetView>
  </sheetViews>
  <sheetFormatPr baseColWidth="10" defaultRowHeight="15" x14ac:dyDescent="0.25"/>
  <cols>
    <col min="1" max="1" width="14.7109375" customWidth="1"/>
  </cols>
  <sheetData>
    <row r="1" spans="1:7" ht="21" x14ac:dyDescent="0.35">
      <c r="A1" s="207" t="s">
        <v>426</v>
      </c>
    </row>
    <row r="2" spans="1:7" s="208" customFormat="1" ht="15" customHeight="1" x14ac:dyDescent="0.25">
      <c r="B2" s="233" t="s">
        <v>435</v>
      </c>
      <c r="C2" s="233"/>
      <c r="D2" s="233"/>
      <c r="E2" s="233" t="s">
        <v>436</v>
      </c>
      <c r="F2" s="233"/>
      <c r="G2" s="233"/>
    </row>
    <row r="3" spans="1:7" ht="15" customHeight="1" x14ac:dyDescent="0.25">
      <c r="A3" s="232" t="s">
        <v>351</v>
      </c>
      <c r="B3" s="232"/>
      <c r="C3" s="232"/>
      <c r="D3" s="232"/>
      <c r="E3" s="232"/>
      <c r="F3" s="232"/>
      <c r="G3" s="232"/>
    </row>
    <row r="4" spans="1:7" ht="15" customHeight="1" x14ac:dyDescent="0.35">
      <c r="A4" s="207"/>
      <c r="B4">
        <v>990.41800000000001</v>
      </c>
      <c r="C4">
        <v>1697.6479999999999</v>
      </c>
      <c r="D4">
        <v>40.436999999999998</v>
      </c>
      <c r="E4" s="206">
        <v>-134.959</v>
      </c>
      <c r="F4" s="206">
        <v>0.123</v>
      </c>
      <c r="G4" s="206">
        <v>0.108</v>
      </c>
    </row>
    <row r="5" spans="1:7" x14ac:dyDescent="0.25">
      <c r="A5" s="232" t="s">
        <v>434</v>
      </c>
      <c r="B5" s="232"/>
      <c r="C5" s="232"/>
      <c r="D5" s="232"/>
      <c r="E5" s="232"/>
      <c r="F5" s="232"/>
      <c r="G5" s="232"/>
    </row>
    <row r="6" spans="1:7" x14ac:dyDescent="0.25">
      <c r="A6" t="s">
        <v>427</v>
      </c>
      <c r="B6" s="57">
        <f>AVERAGE(PA!B9:B26)</f>
        <v>990.00500000000011</v>
      </c>
      <c r="C6" s="57">
        <f>AVERAGE(PA!C9:C26)</f>
        <v>1698.335</v>
      </c>
      <c r="D6" s="57">
        <f>AVERAGE(PA!D9:D26)</f>
        <v>40.797499999999999</v>
      </c>
      <c r="E6" s="206">
        <f>AVERAGE(PA!E9:E26)</f>
        <v>-134.88483333333332</v>
      </c>
      <c r="F6" s="206">
        <f>AVERAGE(PA!F9:F26)</f>
        <v>0.17199999999999999</v>
      </c>
      <c r="G6" s="206">
        <f>AVERAGE(PA!G9:G26)</f>
        <v>8.2000000000000003E-2</v>
      </c>
    </row>
    <row r="7" spans="1:7" x14ac:dyDescent="0.25">
      <c r="A7" t="s">
        <v>428</v>
      </c>
      <c r="B7" s="57">
        <f>AVERAGE('PA (2)'!B10:B27)</f>
        <v>989.95166666666671</v>
      </c>
      <c r="C7" s="57">
        <f>AVERAGE('PA (2)'!C10:C27)</f>
        <v>1698.2555555555555</v>
      </c>
      <c r="D7" s="57">
        <f>AVERAGE('PA (2)'!D10:D27)</f>
        <v>40.916111111111107</v>
      </c>
      <c r="E7" s="206">
        <f>AVERAGE('PA (2)'!E10:E27)</f>
        <v>-134.88627777777776</v>
      </c>
      <c r="F7" s="206">
        <f>AVERAGE('PA (2)'!F10:F27)</f>
        <v>0.17527777777777775</v>
      </c>
      <c r="G7" s="206">
        <f>AVERAGE('PA (2)'!G10:G27)</f>
        <v>8.3611111111111094E-2</v>
      </c>
    </row>
    <row r="8" spans="1:7" x14ac:dyDescent="0.25">
      <c r="A8" t="s">
        <v>413</v>
      </c>
      <c r="B8" s="57">
        <f t="shared" ref="B8:G8" si="0">AVERAGE(B6:B7)</f>
        <v>989.97833333333347</v>
      </c>
      <c r="C8" s="57">
        <f t="shared" si="0"/>
        <v>1698.2952777777778</v>
      </c>
      <c r="D8" s="57">
        <f t="shared" si="0"/>
        <v>40.856805555555553</v>
      </c>
      <c r="E8" s="206">
        <f t="shared" si="0"/>
        <v>-134.88555555555553</v>
      </c>
      <c r="F8" s="206">
        <f t="shared" si="0"/>
        <v>0.17363888888888887</v>
      </c>
      <c r="G8" s="206">
        <f t="shared" si="0"/>
        <v>8.2805555555555549E-2</v>
      </c>
    </row>
    <row r="10" spans="1:7" x14ac:dyDescent="0.25">
      <c r="A10" s="232" t="s">
        <v>438</v>
      </c>
      <c r="B10" s="232"/>
      <c r="C10" s="232"/>
      <c r="D10" s="232"/>
      <c r="E10" s="232"/>
      <c r="F10" s="232"/>
      <c r="G10" s="232"/>
    </row>
    <row r="11" spans="1:7" x14ac:dyDescent="0.25">
      <c r="A11" t="s">
        <v>413</v>
      </c>
      <c r="B11">
        <f>AVERAGE(daten!D268,daten!D265,daten!D230,daten!D233,daten!D204)</f>
        <v>989.88799999999992</v>
      </c>
      <c r="C11">
        <f>AVERAGE(daten!E268,daten!E265,daten!E230,daten!E233,daten!E204)</f>
        <v>1698.2540000000001</v>
      </c>
      <c r="D11">
        <f>AVERAGE(daten!F268,daten!F265,daten!F230,daten!F233,daten!F204)</f>
        <v>40.63600000000001</v>
      </c>
      <c r="E11" s="206">
        <f>AVERAGE(daten!G268,daten!G265,daten!G230,daten!G233,daten!G204)</f>
        <v>-134.8880662</v>
      </c>
      <c r="F11" s="206">
        <f>AVERAGE(daten!H268,daten!H265,daten!H230,daten!H233,daten!H204)</f>
        <v>1.5378800000000008E-2</v>
      </c>
      <c r="G11" s="206">
        <f>AVERAGE(daten!I268,daten!I265,daten!I230,daten!I233,daten!I204)</f>
        <v>6.2136999999999998E-2</v>
      </c>
    </row>
    <row r="12" spans="1:7" x14ac:dyDescent="0.25">
      <c r="E12" s="206"/>
      <c r="F12" s="206"/>
      <c r="G12" s="206"/>
    </row>
    <row r="13" spans="1:7" x14ac:dyDescent="0.25">
      <c r="A13" s="232" t="s">
        <v>441</v>
      </c>
      <c r="B13" s="232"/>
      <c r="C13" s="232"/>
      <c r="D13" s="232"/>
      <c r="E13" s="232"/>
      <c r="F13" s="232"/>
      <c r="G13" s="232"/>
    </row>
    <row r="14" spans="1:7" x14ac:dyDescent="0.25">
      <c r="B14" s="57">
        <f>B8-B11</f>
        <v>9.0333333333546761E-2</v>
      </c>
      <c r="C14" s="57">
        <f t="shared" ref="C14:G14" si="1">C8-C11</f>
        <v>4.1277777777622759E-2</v>
      </c>
      <c r="D14" s="57">
        <f t="shared" si="1"/>
        <v>0.22080555555554326</v>
      </c>
      <c r="E14" s="206">
        <f t="shared" si="1"/>
        <v>2.5106444444702447E-3</v>
      </c>
      <c r="F14" s="206">
        <f t="shared" si="1"/>
        <v>0.15826008888888887</v>
      </c>
      <c r="G14" s="206">
        <f t="shared" si="1"/>
        <v>2.0668555555555551E-2</v>
      </c>
    </row>
    <row r="15" spans="1:7" x14ac:dyDescent="0.25">
      <c r="A15" t="s">
        <v>432</v>
      </c>
      <c r="B15" s="57">
        <f>SQRT(B14^2+C14^2+D14^2)</f>
        <v>0.24211373239368433</v>
      </c>
      <c r="C15" s="57"/>
      <c r="D15" s="57"/>
      <c r="E15" s="206">
        <f>SQRT(E14^2+F14^2+G14^2)</f>
        <v>0.15962377097224162</v>
      </c>
      <c r="F15" s="57"/>
      <c r="G15" s="57"/>
    </row>
    <row r="17" spans="1:7" x14ac:dyDescent="0.25">
      <c r="A17" s="42" t="s">
        <v>440</v>
      </c>
    </row>
    <row r="18" spans="1:7" x14ac:dyDescent="0.25">
      <c r="A18" t="s">
        <v>437</v>
      </c>
      <c r="B18" s="239" t="s">
        <v>435</v>
      </c>
      <c r="C18" s="239"/>
      <c r="D18" s="239"/>
      <c r="E18" s="239" t="s">
        <v>436</v>
      </c>
      <c r="F18" s="239"/>
      <c r="G18" s="239"/>
    </row>
    <row r="19" spans="1:7" x14ac:dyDescent="0.25">
      <c r="A19">
        <v>8</v>
      </c>
      <c r="B19" s="57">
        <f>$B$8-PA!B9</f>
        <v>-0.1016666666665742</v>
      </c>
      <c r="C19" s="57">
        <f>$C$8-PA!C9</f>
        <v>-4.47222222221626E-2</v>
      </c>
      <c r="D19" s="57">
        <f>$D$8-PA!D9</f>
        <v>5.6805555555555998E-2</v>
      </c>
      <c r="E19" s="57">
        <f>$E$8-PA!E9</f>
        <v>2.4444444444782221E-3</v>
      </c>
      <c r="F19" s="57">
        <f>$F$8-PA!F9</f>
        <v>1.6388888888888842E-3</v>
      </c>
      <c r="G19" s="57">
        <f>$G$8-PA!G9</f>
        <v>-1.9444444444445541E-4</v>
      </c>
    </row>
    <row r="20" spans="1:7" x14ac:dyDescent="0.25">
      <c r="A20">
        <v>9</v>
      </c>
      <c r="B20" s="57">
        <f>$B$8-PA!B10</f>
        <v>-8.1666666666478704E-2</v>
      </c>
      <c r="C20" s="57">
        <f>$C$8-PA!C10</f>
        <v>-5.4722222222153505E-2</v>
      </c>
      <c r="D20" s="57">
        <f>$D$8-PA!D10</f>
        <v>3.6805555555552871E-2</v>
      </c>
      <c r="E20" s="57">
        <f>$E$8-PA!E10</f>
        <v>1.4444444444734472E-3</v>
      </c>
      <c r="F20" s="57">
        <f>$F$8-PA!F10</f>
        <v>6.3888888888888329E-4</v>
      </c>
      <c r="G20" s="57">
        <f>$G$8-PA!G10</f>
        <v>-1.9444444444445541E-4</v>
      </c>
    </row>
    <row r="21" spans="1:7" x14ac:dyDescent="0.25">
      <c r="A21">
        <v>10</v>
      </c>
      <c r="B21" s="57">
        <f>$B$8-PA!B11</f>
        <v>-8.1666666666478704E-2</v>
      </c>
      <c r="C21" s="57">
        <f>$C$8-PA!C11</f>
        <v>-6.472222222214441E-2</v>
      </c>
      <c r="D21" s="57">
        <f>$D$8-PA!D11</f>
        <v>2.6805555555554861E-2</v>
      </c>
      <c r="E21" s="57">
        <f>$E$8-PA!E11</f>
        <v>1.4444444444734472E-3</v>
      </c>
      <c r="F21" s="57">
        <f>$F$8-PA!F11</f>
        <v>1.6388888888888842E-3</v>
      </c>
      <c r="G21" s="57">
        <f>$G$8-PA!G11</f>
        <v>1.8055555555555464E-3</v>
      </c>
    </row>
    <row r="22" spans="1:7" x14ac:dyDescent="0.25">
      <c r="A22">
        <v>11</v>
      </c>
      <c r="B22" s="57">
        <f>$B$8-PA!B12</f>
        <v>-1.666666666551464E-3</v>
      </c>
      <c r="C22" s="57">
        <f>$C$8-PA!C12</f>
        <v>3.5277777777764641E-2</v>
      </c>
      <c r="D22" s="57">
        <f>$D$8-PA!D12</f>
        <v>6.6805555555554008E-2</v>
      </c>
      <c r="E22" s="57">
        <f>$E$8-PA!E12</f>
        <v>4.4444444446867237E-4</v>
      </c>
      <c r="F22" s="57">
        <f>$F$8-PA!F12</f>
        <v>6.6388888888888609E-3</v>
      </c>
      <c r="G22" s="57">
        <f>$G$8-PA!G12</f>
        <v>8.0555555555554548E-4</v>
      </c>
    </row>
    <row r="23" spans="1:7" x14ac:dyDescent="0.25">
      <c r="A23">
        <v>12</v>
      </c>
      <c r="B23" s="57">
        <f>$B$8-PA!B13</f>
        <v>-4.1666666666515084E-2</v>
      </c>
      <c r="C23" s="57">
        <f>$C$8-PA!C13</f>
        <v>1.5277777777782831E-2</v>
      </c>
      <c r="D23" s="57">
        <f>$D$8-PA!D13</f>
        <v>6.6805555555554008E-2</v>
      </c>
      <c r="E23" s="57">
        <f>$E$8-PA!E13</f>
        <v>4.4444444446867237E-4</v>
      </c>
      <c r="F23" s="57">
        <f>$F$8-PA!F13</f>
        <v>3.6388888888888582E-3</v>
      </c>
      <c r="G23" s="57">
        <f>$G$8-PA!G13</f>
        <v>8.0555555555554548E-4</v>
      </c>
    </row>
    <row r="24" spans="1:7" x14ac:dyDescent="0.25">
      <c r="A24">
        <v>13</v>
      </c>
      <c r="B24" s="57">
        <f>$B$8-PA!B14</f>
        <v>-3.1666666666524179E-2</v>
      </c>
      <c r="C24" s="57">
        <f>$C$8-PA!C14</f>
        <v>-4.7222222221989796E-3</v>
      </c>
      <c r="D24" s="57">
        <f>$D$8-PA!D14</f>
        <v>6.6805555555554008E-2</v>
      </c>
      <c r="E24" s="57">
        <f>$E$8-PA!E14</f>
        <v>-5.5555555553610247E-4</v>
      </c>
      <c r="F24" s="57">
        <f>$F$8-PA!F14</f>
        <v>3.6388888888888582E-3</v>
      </c>
      <c r="G24" s="57">
        <f>$G$8-PA!G14</f>
        <v>2.8055555555555473E-3</v>
      </c>
    </row>
    <row r="25" spans="1:7" x14ac:dyDescent="0.25">
      <c r="A25">
        <v>14</v>
      </c>
      <c r="B25" s="57">
        <f>$B$8-PA!B15</f>
        <v>-3.1666666666524179E-2</v>
      </c>
      <c r="C25" s="57">
        <f>$C$8-PA!C15</f>
        <v>-4.47222222221626E-2</v>
      </c>
      <c r="D25" s="57">
        <f>$D$8-PA!D15</f>
        <v>6.6805555555554008E-2</v>
      </c>
      <c r="E25" s="57">
        <f>$E$8-PA!E15</f>
        <v>-1.5555555555408773E-3</v>
      </c>
      <c r="F25" s="57">
        <f>$F$8-PA!F15</f>
        <v>1.6388888888888842E-3</v>
      </c>
      <c r="G25" s="57">
        <f>$G$8-PA!G15</f>
        <v>8.0555555555554548E-4</v>
      </c>
    </row>
    <row r="26" spans="1:7" x14ac:dyDescent="0.25">
      <c r="A26">
        <v>15</v>
      </c>
      <c r="B26" s="57">
        <f>$B$8-PA!B16</f>
        <v>-1.1666666666542369E-2</v>
      </c>
      <c r="C26" s="57">
        <f>$C$8-PA!C16</f>
        <v>-2.472222222218079E-2</v>
      </c>
      <c r="D26" s="57">
        <f>$D$8-PA!D16</f>
        <v>7.6805555555552019E-2</v>
      </c>
      <c r="E26" s="57">
        <f>$E$8-PA!E16</f>
        <v>-1.5555555555408773E-3</v>
      </c>
      <c r="F26" s="57">
        <f>$F$8-PA!F16</f>
        <v>2.6388888888888573E-3</v>
      </c>
      <c r="G26" s="57">
        <f>$G$8-PA!G16</f>
        <v>8.0555555555554548E-4</v>
      </c>
    </row>
    <row r="27" spans="1:7" x14ac:dyDescent="0.25">
      <c r="A27">
        <v>16</v>
      </c>
      <c r="B27" s="57">
        <f>$B$8-PA!B17</f>
        <v>-2.1666666666533274E-2</v>
      </c>
      <c r="C27" s="57">
        <f>$C$8-PA!C17</f>
        <v>-2.472222222218079E-2</v>
      </c>
      <c r="D27" s="57">
        <f>$D$8-PA!D17</f>
        <v>6.6805555555554008E-2</v>
      </c>
      <c r="E27" s="57">
        <f>$E$8-PA!E17</f>
        <v>-1.5555555555408773E-3</v>
      </c>
      <c r="F27" s="57">
        <f>$F$8-PA!F17</f>
        <v>1.6388888888888842E-3</v>
      </c>
      <c r="G27" s="57">
        <f>$G$8-PA!G17</f>
        <v>8.0555555555554548E-4</v>
      </c>
    </row>
    <row r="28" spans="1:7" x14ac:dyDescent="0.25">
      <c r="A28">
        <v>17</v>
      </c>
      <c r="B28" s="57">
        <f>$B$8-PA!B18</f>
        <v>-2.1666666666533274E-2</v>
      </c>
      <c r="C28" s="57">
        <f>$C$8-PA!C18</f>
        <v>-1.4722222222189885E-2</v>
      </c>
      <c r="D28" s="57">
        <f>$D$8-PA!D18</f>
        <v>7.6805555555552019E-2</v>
      </c>
      <c r="E28" s="57">
        <f>$E$8-PA!E18</f>
        <v>-5.5555555553610247E-4</v>
      </c>
      <c r="F28" s="57">
        <f>$F$8-PA!F18</f>
        <v>2.6388888888888573E-3</v>
      </c>
      <c r="G28" s="57">
        <f>$G$8-PA!G18</f>
        <v>8.0555555555554548E-4</v>
      </c>
    </row>
    <row r="29" spans="1:7" x14ac:dyDescent="0.25">
      <c r="A29">
        <v>18</v>
      </c>
      <c r="B29" s="57">
        <f>$B$8-PA!B19</f>
        <v>-2.1666666666533274E-2</v>
      </c>
      <c r="C29" s="57">
        <f>$C$8-PA!C19</f>
        <v>-2.472222222218079E-2</v>
      </c>
      <c r="D29" s="57">
        <f>$D$8-PA!D19</f>
        <v>5.6805555555555998E-2</v>
      </c>
      <c r="E29" s="57">
        <f>$E$8-PA!E19</f>
        <v>-5.5555555553610247E-4</v>
      </c>
      <c r="F29" s="57">
        <f>$F$8-PA!F19</f>
        <v>2.6388888888888573E-3</v>
      </c>
      <c r="G29" s="57">
        <f>$G$8-PA!G19</f>
        <v>8.0555555555554548E-4</v>
      </c>
    </row>
    <row r="30" spans="1:7" x14ac:dyDescent="0.25">
      <c r="A30">
        <v>19</v>
      </c>
      <c r="B30" s="57">
        <f>$B$8-PA!B20</f>
        <v>-2.1666666666533274E-2</v>
      </c>
      <c r="C30" s="57">
        <f>$C$8-PA!C20</f>
        <v>-1.4722222222189885E-2</v>
      </c>
      <c r="D30" s="57">
        <f>$D$8-PA!D20</f>
        <v>6.6805555555554008E-2</v>
      </c>
      <c r="E30" s="57">
        <f>$E$8-PA!E20</f>
        <v>-1.5555555555408773E-3</v>
      </c>
      <c r="F30" s="57">
        <f>$F$8-PA!F20</f>
        <v>2.6388888888888573E-3</v>
      </c>
      <c r="G30" s="57">
        <f>$G$8-PA!G20</f>
        <v>8.0555555555554548E-4</v>
      </c>
    </row>
    <row r="31" spans="1:7" x14ac:dyDescent="0.25">
      <c r="A31">
        <v>20</v>
      </c>
      <c r="B31" s="57">
        <f>$B$8-PA!B21</f>
        <v>-2.1666666666533274E-2</v>
      </c>
      <c r="C31" s="57">
        <f>$C$8-PA!C21</f>
        <v>-1.4722222222189885E-2</v>
      </c>
      <c r="D31" s="57">
        <f>$D$8-PA!D21</f>
        <v>6.6805555555554008E-2</v>
      </c>
      <c r="E31" s="57">
        <f>$E$8-PA!E21</f>
        <v>-1.5555555555408773E-3</v>
      </c>
      <c r="F31" s="57">
        <f>$F$8-PA!F21</f>
        <v>2.6388888888888573E-3</v>
      </c>
      <c r="G31" s="57">
        <f>$G$8-PA!G21</f>
        <v>8.0555555555554548E-4</v>
      </c>
    </row>
    <row r="32" spans="1:7" x14ac:dyDescent="0.25">
      <c r="A32">
        <v>21</v>
      </c>
      <c r="B32" s="57">
        <f>$B$8-PA!B22</f>
        <v>-2.1666666666533274E-2</v>
      </c>
      <c r="C32" s="57">
        <f>$C$8-PA!C22</f>
        <v>-2.472222222218079E-2</v>
      </c>
      <c r="D32" s="57">
        <f>$D$8-PA!D22</f>
        <v>6.6805555555554008E-2</v>
      </c>
      <c r="E32" s="57">
        <f>$E$8-PA!E22</f>
        <v>-1.5555555555408773E-3</v>
      </c>
      <c r="F32" s="57">
        <f>$F$8-PA!F22</f>
        <v>2.6388888888888573E-3</v>
      </c>
      <c r="G32" s="57">
        <f>$G$8-PA!G22</f>
        <v>8.0555555555554548E-4</v>
      </c>
    </row>
    <row r="33" spans="1:7" x14ac:dyDescent="0.25">
      <c r="A33">
        <v>22</v>
      </c>
      <c r="B33" s="57">
        <f>$B$8-PA!B23</f>
        <v>-2.1666666666533274E-2</v>
      </c>
      <c r="C33" s="57">
        <f>$C$8-PA!C23</f>
        <v>-2.472222222218079E-2</v>
      </c>
      <c r="D33" s="57">
        <f>$D$8-PA!D23</f>
        <v>6.6805555555554008E-2</v>
      </c>
      <c r="E33" s="57">
        <f>$E$8-PA!E23</f>
        <v>-1.5555555555408773E-3</v>
      </c>
      <c r="F33" s="57">
        <f>$F$8-PA!F23</f>
        <v>2.6388888888888573E-3</v>
      </c>
      <c r="G33" s="57">
        <f>$G$8-PA!G23</f>
        <v>8.0555555555554548E-4</v>
      </c>
    </row>
    <row r="34" spans="1:7" x14ac:dyDescent="0.25">
      <c r="A34">
        <v>23</v>
      </c>
      <c r="B34" s="57">
        <f>$B$8-PA!B24</f>
        <v>-3.1666666666524179E-2</v>
      </c>
      <c r="C34" s="57">
        <f>$C$8-PA!C24</f>
        <v>-5.4722222222153505E-2</v>
      </c>
      <c r="D34" s="57">
        <f>$D$8-PA!D24</f>
        <v>5.6805555555555998E-2</v>
      </c>
      <c r="E34" s="57">
        <f>$E$8-PA!E24</f>
        <v>-2.5555555555172305E-3</v>
      </c>
      <c r="F34" s="57">
        <f>$F$8-PA!F24</f>
        <v>6.3888888888888329E-4</v>
      </c>
      <c r="G34" s="57">
        <f>$G$8-PA!G24</f>
        <v>8.0555555555554548E-4</v>
      </c>
    </row>
    <row r="35" spans="1:7" x14ac:dyDescent="0.25">
      <c r="A35">
        <v>24</v>
      </c>
      <c r="B35" s="57">
        <f>$B$8-PA!B25</f>
        <v>-3.1666666666524179E-2</v>
      </c>
      <c r="C35" s="57">
        <f>$C$8-PA!C25</f>
        <v>-5.4722222222153505E-2</v>
      </c>
      <c r="D35" s="57">
        <f>$D$8-PA!D25</f>
        <v>4.6805555555550882E-2</v>
      </c>
      <c r="E35" s="57">
        <f>$E$8-PA!E25</f>
        <v>-2.5555555555172305E-3</v>
      </c>
      <c r="F35" s="57">
        <f>$F$8-PA!F25</f>
        <v>6.3888888888888329E-4</v>
      </c>
      <c r="G35" s="57">
        <f>$G$8-PA!G25</f>
        <v>8.0555555555554548E-4</v>
      </c>
    </row>
    <row r="36" spans="1:7" x14ac:dyDescent="0.25">
      <c r="A36">
        <v>25</v>
      </c>
      <c r="B36" s="57">
        <f>$B$8-PA!B26</f>
        <v>-3.1666666666524179E-2</v>
      </c>
      <c r="C36" s="57">
        <f>$C$8-PA!C26</f>
        <v>-4.47222222221626E-2</v>
      </c>
      <c r="D36" s="57">
        <f>$D$8-PA!D26</f>
        <v>4.6805555555550882E-2</v>
      </c>
      <c r="E36" s="57">
        <f>$E$8-PA!E26</f>
        <v>-1.5555555555408773E-3</v>
      </c>
      <c r="F36" s="57">
        <f>$F$8-PA!F26</f>
        <v>6.3888888888888329E-4</v>
      </c>
      <c r="G36" s="57">
        <f>$G$8-PA!G26</f>
        <v>8.0555555555554548E-4</v>
      </c>
    </row>
    <row r="37" spans="1:7" x14ac:dyDescent="0.25">
      <c r="A37" t="s">
        <v>429</v>
      </c>
      <c r="B37" s="57">
        <f t="shared" ref="B37:G37" si="2">MAX(B19:B36)</f>
        <v>-1.666666666551464E-3</v>
      </c>
      <c r="C37" s="57">
        <f t="shared" si="2"/>
        <v>3.5277777777764641E-2</v>
      </c>
      <c r="D37" s="57">
        <f t="shared" si="2"/>
        <v>7.6805555555552019E-2</v>
      </c>
      <c r="E37" s="57">
        <f t="shared" si="2"/>
        <v>2.4444444444782221E-3</v>
      </c>
      <c r="F37" s="57">
        <f t="shared" si="2"/>
        <v>6.6388888888888609E-3</v>
      </c>
      <c r="G37" s="57">
        <f t="shared" si="2"/>
        <v>2.8055555555555473E-3</v>
      </c>
    </row>
    <row r="38" spans="1:7" x14ac:dyDescent="0.25">
      <c r="A38" t="s">
        <v>430</v>
      </c>
      <c r="B38" s="57">
        <f t="shared" ref="B38:G38" si="3">MIN(B19:B36)</f>
        <v>-0.1016666666665742</v>
      </c>
      <c r="C38" s="57">
        <f t="shared" si="3"/>
        <v>-6.472222222214441E-2</v>
      </c>
      <c r="D38" s="57">
        <f t="shared" si="3"/>
        <v>2.6805555555554861E-2</v>
      </c>
      <c r="E38" s="57">
        <f t="shared" si="3"/>
        <v>-2.5555555555172305E-3</v>
      </c>
      <c r="F38" s="57">
        <f t="shared" si="3"/>
        <v>6.3888888888888329E-4</v>
      </c>
      <c r="G38" s="57">
        <f t="shared" si="3"/>
        <v>-1.9444444444445541E-4</v>
      </c>
    </row>
    <row r="39" spans="1:7" x14ac:dyDescent="0.25">
      <c r="A39" t="s">
        <v>431</v>
      </c>
      <c r="B39" s="57">
        <f t="shared" ref="B39:G39" si="4">ABS(B37)+ABS(B38)</f>
        <v>0.10333333333312567</v>
      </c>
      <c r="C39" s="57">
        <f t="shared" si="4"/>
        <v>9.9999999999909051E-2</v>
      </c>
      <c r="D39" s="57">
        <f t="shared" si="4"/>
        <v>0.10361111111110688</v>
      </c>
      <c r="E39" s="206">
        <f t="shared" si="4"/>
        <v>4.9999999999954525E-3</v>
      </c>
      <c r="F39" s="206">
        <f t="shared" si="4"/>
        <v>7.2777777777777442E-3</v>
      </c>
      <c r="G39" s="206">
        <f t="shared" si="4"/>
        <v>3.0000000000000027E-3</v>
      </c>
    </row>
    <row r="40" spans="1:7" x14ac:dyDescent="0.25">
      <c r="A40" t="s">
        <v>432</v>
      </c>
      <c r="B40" s="57">
        <f>SQRT(B39^2+C39^2+D39^2)</f>
        <v>0.17723724248417658</v>
      </c>
      <c r="C40" t="s">
        <v>433</v>
      </c>
      <c r="E40" s="206">
        <f>SQRT(E39^2+F39^2+G39^2)</f>
        <v>9.325558931381546E-3</v>
      </c>
      <c r="F40" s="206"/>
      <c r="G40" s="206"/>
    </row>
    <row r="42" spans="1:7" x14ac:dyDescent="0.25">
      <c r="A42" s="42" t="s">
        <v>439</v>
      </c>
    </row>
    <row r="43" spans="1:7" x14ac:dyDescent="0.25">
      <c r="A43" t="s">
        <v>437</v>
      </c>
      <c r="B43" s="239" t="s">
        <v>435</v>
      </c>
      <c r="C43" s="239"/>
      <c r="D43" s="239"/>
      <c r="E43" s="239" t="s">
        <v>436</v>
      </c>
      <c r="F43" s="239"/>
      <c r="G43" s="239"/>
    </row>
    <row r="44" spans="1:7" x14ac:dyDescent="0.25">
      <c r="A44">
        <v>1</v>
      </c>
      <c r="B44">
        <f>$B$11-daten!D268</f>
        <v>-0.15200000000004366</v>
      </c>
      <c r="C44">
        <f>$C$11-daten!E268</f>
        <v>0.20400000000017826</v>
      </c>
      <c r="D44">
        <f>$D$11-daten!F268</f>
        <v>0.1460000000000008</v>
      </c>
      <c r="E44" s="206">
        <f>$E$11-daten!G268</f>
        <v>8.5918000000049233E-3</v>
      </c>
      <c r="F44" s="206">
        <f>$F$11-daten!H268</f>
        <v>-0.10847519999999999</v>
      </c>
      <c r="G44" s="206">
        <f>$G$11-daten!I268</f>
        <v>-6.9430999999999993E-2</v>
      </c>
    </row>
    <row r="45" spans="1:7" x14ac:dyDescent="0.25">
      <c r="A45">
        <v>2</v>
      </c>
      <c r="B45">
        <f>$B$11-daten!D265</f>
        <v>-0.35200000000008913</v>
      </c>
      <c r="C45">
        <f>$C$11-daten!E265</f>
        <v>0.35400000000004184</v>
      </c>
      <c r="D45">
        <f>$D$11-daten!F265</f>
        <v>2.5999999999996248E-2</v>
      </c>
      <c r="E45" s="206">
        <f>$E$11-daten!G265</f>
        <v>7.1848000000045431E-3</v>
      </c>
      <c r="F45" s="206">
        <f>$F$11-daten!H265</f>
        <v>-0.1055502</v>
      </c>
      <c r="G45" s="206">
        <f>$G$11-daten!I265</f>
        <v>-9.0803999999999996E-2</v>
      </c>
    </row>
    <row r="46" spans="1:7" x14ac:dyDescent="0.25">
      <c r="A46">
        <v>3</v>
      </c>
      <c r="B46">
        <f>$B$11-daten!D230</f>
        <v>0.12799999999992906</v>
      </c>
      <c r="C46">
        <f>$C$11-daten!E230</f>
        <v>-5.9999999998581188E-3</v>
      </c>
      <c r="D46">
        <f>$D$11-daten!F230</f>
        <v>4.5999999999978058E-2</v>
      </c>
      <c r="E46" s="206">
        <f>$E$11-daten!G230</f>
        <v>1.5418000000124721E-3</v>
      </c>
      <c r="F46" s="206">
        <f>$F$11-daten!H230</f>
        <v>0.1918048</v>
      </c>
      <c r="G46" s="206">
        <f>$G$11-daten!I230</f>
        <v>5.8719E-2</v>
      </c>
    </row>
    <row r="47" spans="1:7" x14ac:dyDescent="0.25">
      <c r="A47">
        <v>4</v>
      </c>
      <c r="B47">
        <f>$B$11-daten!D233</f>
        <v>0.18799999999987449</v>
      </c>
      <c r="C47">
        <f>$C$11-daten!E233</f>
        <v>-0.2159999999998945</v>
      </c>
      <c r="D47">
        <f>$D$11-daten!F233</f>
        <v>-1.3999999999967372E-2</v>
      </c>
      <c r="E47" s="206">
        <f>$E$11-daten!G233</f>
        <v>-8.2391999999913423E-3</v>
      </c>
      <c r="F47" s="206">
        <f>$F$11-daten!H233</f>
        <v>0.20076579999999999</v>
      </c>
      <c r="G47" s="206">
        <f>$G$11-daten!I233</f>
        <v>5.8383999999999998E-2</v>
      </c>
    </row>
    <row r="48" spans="1:7" x14ac:dyDescent="0.25">
      <c r="A48">
        <v>5</v>
      </c>
      <c r="B48">
        <f>$B$11-daten!D204</f>
        <v>0.18799999999987449</v>
      </c>
      <c r="C48">
        <f>$C$11-daten!E204</f>
        <v>-0.33599999999978536</v>
      </c>
      <c r="D48">
        <f>$D$11-daten!F204</f>
        <v>-0.20400000000002194</v>
      </c>
      <c r="E48" s="206">
        <f>$E$11-daten!G204</f>
        <v>-9.0792000000021744E-3</v>
      </c>
      <c r="F48" s="206">
        <f>$F$11-daten!H204</f>
        <v>-0.17854520000000002</v>
      </c>
      <c r="G48" s="206">
        <f>$G$11-daten!I204</f>
        <v>4.313199999999999E-2</v>
      </c>
    </row>
    <row r="49" spans="1:18" x14ac:dyDescent="0.25">
      <c r="A49" t="s">
        <v>429</v>
      </c>
      <c r="B49" s="57">
        <f t="shared" ref="B49:G49" si="5">MAX(B44:B48)</f>
        <v>0.18799999999987449</v>
      </c>
      <c r="C49" s="57">
        <f t="shared" si="5"/>
        <v>0.35400000000004184</v>
      </c>
      <c r="D49" s="57">
        <f t="shared" si="5"/>
        <v>0.1460000000000008</v>
      </c>
      <c r="E49" s="57">
        <f t="shared" si="5"/>
        <v>8.5918000000049233E-3</v>
      </c>
      <c r="F49" s="57">
        <f t="shared" si="5"/>
        <v>0.20076579999999999</v>
      </c>
      <c r="G49" s="57">
        <f t="shared" si="5"/>
        <v>5.8719E-2</v>
      </c>
    </row>
    <row r="50" spans="1:18" x14ac:dyDescent="0.25">
      <c r="A50" t="s">
        <v>430</v>
      </c>
      <c r="B50" s="57">
        <f t="shared" ref="B50:G50" si="6">MIN(B44:B48)</f>
        <v>-0.35200000000008913</v>
      </c>
      <c r="C50" s="57">
        <f t="shared" si="6"/>
        <v>-0.33599999999978536</v>
      </c>
      <c r="D50" s="57">
        <f t="shared" si="6"/>
        <v>-0.20400000000002194</v>
      </c>
      <c r="E50" s="57">
        <f t="shared" si="6"/>
        <v>-9.0792000000021744E-3</v>
      </c>
      <c r="F50" s="57">
        <f t="shared" si="6"/>
        <v>-0.17854520000000002</v>
      </c>
      <c r="G50" s="57">
        <f t="shared" si="6"/>
        <v>-9.0803999999999996E-2</v>
      </c>
    </row>
    <row r="51" spans="1:18" x14ac:dyDescent="0.25">
      <c r="A51" t="s">
        <v>431</v>
      </c>
      <c r="B51" s="57">
        <f t="shared" ref="B51:G51" si="7">ABS(B49)+ABS(B50)</f>
        <v>0.53999999999996362</v>
      </c>
      <c r="C51" s="57">
        <f t="shared" si="7"/>
        <v>0.6899999999998272</v>
      </c>
      <c r="D51" s="57">
        <f t="shared" si="7"/>
        <v>0.35000000000002274</v>
      </c>
      <c r="E51" s="206">
        <f t="shared" si="7"/>
        <v>1.7671000000007098E-2</v>
      </c>
      <c r="F51" s="206">
        <f t="shared" si="7"/>
        <v>0.37931100000000001</v>
      </c>
      <c r="G51" s="206">
        <f t="shared" si="7"/>
        <v>0.14952299999999999</v>
      </c>
    </row>
    <row r="52" spans="1:18" x14ac:dyDescent="0.25">
      <c r="A52" t="s">
        <v>432</v>
      </c>
      <c r="B52" s="57">
        <f>SQRT(B51^2+C51^2+D51^2)</f>
        <v>0.943504107039147</v>
      </c>
      <c r="C52" t="s">
        <v>433</v>
      </c>
      <c r="E52" s="206">
        <f>SQRT(E51^2+F51^2+G51^2)</f>
        <v>0.40810075531785073</v>
      </c>
      <c r="F52" s="206"/>
      <c r="G52" s="206"/>
    </row>
    <row r="56" spans="1:18" ht="15.75" thickBot="1" x14ac:dyDescent="0.3"/>
    <row r="57" spans="1:18" x14ac:dyDescent="0.25">
      <c r="L57" s="234" t="s">
        <v>442</v>
      </c>
      <c r="M57" s="235"/>
      <c r="N57" s="235"/>
      <c r="O57" s="235"/>
      <c r="P57" s="235"/>
      <c r="Q57" s="235"/>
      <c r="R57" s="236"/>
    </row>
    <row r="58" spans="1:18" x14ac:dyDescent="0.25">
      <c r="L58" s="221"/>
      <c r="M58" s="237" t="s">
        <v>443</v>
      </c>
      <c r="N58" s="237"/>
      <c r="O58" s="237"/>
      <c r="P58" s="237" t="s">
        <v>444</v>
      </c>
      <c r="Q58" s="237"/>
      <c r="R58" s="238"/>
    </row>
    <row r="59" spans="1:18" x14ac:dyDescent="0.25">
      <c r="L59" s="212" t="s">
        <v>445</v>
      </c>
      <c r="M59" s="210">
        <v>989.97799999999995</v>
      </c>
      <c r="N59" s="211">
        <v>1698.2950000000001</v>
      </c>
      <c r="O59" s="211">
        <v>40.856999999999999</v>
      </c>
      <c r="P59" s="210">
        <v>-134.88560000000001</v>
      </c>
      <c r="Q59" s="211">
        <v>0.1736</v>
      </c>
      <c r="R59" s="219">
        <v>8.2799999999999999E-2</v>
      </c>
    </row>
    <row r="60" spans="1:18" x14ac:dyDescent="0.25">
      <c r="L60" s="212" t="s">
        <v>431</v>
      </c>
      <c r="M60" s="210">
        <v>0.10299999999999999</v>
      </c>
      <c r="N60" s="210">
        <v>0.1</v>
      </c>
      <c r="O60" s="210">
        <v>0.104</v>
      </c>
      <c r="P60" s="224">
        <v>4.9999999999954525E-3</v>
      </c>
      <c r="Q60" s="224">
        <v>7.2777777777777442E-3</v>
      </c>
      <c r="R60" s="225">
        <v>3.0000000000000027E-3</v>
      </c>
    </row>
    <row r="61" spans="1:18" ht="15.75" thickBot="1" x14ac:dyDescent="0.3">
      <c r="L61" s="214" t="s">
        <v>432</v>
      </c>
      <c r="M61" s="215">
        <v>0.17699999999999999</v>
      </c>
      <c r="N61" s="220"/>
      <c r="O61" s="220"/>
      <c r="P61" s="226">
        <v>9.325558931381546E-3</v>
      </c>
      <c r="Q61" s="227"/>
      <c r="R61" s="228"/>
    </row>
    <row r="62" spans="1:18" x14ac:dyDescent="0.25">
      <c r="L62" s="234" t="s">
        <v>439</v>
      </c>
      <c r="M62" s="235"/>
      <c r="N62" s="235"/>
      <c r="O62" s="235"/>
      <c r="P62" s="235"/>
      <c r="Q62" s="235"/>
      <c r="R62" s="236"/>
    </row>
    <row r="63" spans="1:18" x14ac:dyDescent="0.25">
      <c r="L63" s="218"/>
      <c r="M63" s="240" t="s">
        <v>443</v>
      </c>
      <c r="N63" s="240"/>
      <c r="O63" s="240"/>
      <c r="P63" s="240" t="s">
        <v>444</v>
      </c>
      <c r="Q63" s="240"/>
      <c r="R63" s="241"/>
    </row>
    <row r="64" spans="1:18" x14ac:dyDescent="0.25">
      <c r="L64" s="212" t="s">
        <v>445</v>
      </c>
      <c r="M64" s="211">
        <v>989.88800000000003</v>
      </c>
      <c r="N64" s="211">
        <v>1698.2539999999999</v>
      </c>
      <c r="O64" s="211">
        <v>40.636000000000003</v>
      </c>
      <c r="P64" s="211">
        <v>-134.88810000000001</v>
      </c>
      <c r="Q64" s="211">
        <v>1.54E-2</v>
      </c>
      <c r="R64" s="219">
        <v>6.2100000000000002E-2</v>
      </c>
    </row>
    <row r="65" spans="12:18" x14ac:dyDescent="0.25">
      <c r="L65" s="212" t="s">
        <v>431</v>
      </c>
      <c r="M65" s="210">
        <v>0.54</v>
      </c>
      <c r="N65" s="210">
        <v>0.69</v>
      </c>
      <c r="O65" s="210">
        <v>0.35</v>
      </c>
      <c r="P65" s="224">
        <v>1.7671000000007098E-2</v>
      </c>
      <c r="Q65" s="224">
        <v>0.37931100000000001</v>
      </c>
      <c r="R65" s="225">
        <v>0.14952299999999999</v>
      </c>
    </row>
    <row r="66" spans="12:18" ht="15.75" thickBot="1" x14ac:dyDescent="0.3">
      <c r="L66" s="214" t="s">
        <v>432</v>
      </c>
      <c r="M66" s="215">
        <v>0.94399999999999995</v>
      </c>
      <c r="N66" s="220"/>
      <c r="O66" s="220"/>
      <c r="P66" s="226">
        <v>0.40810075531785073</v>
      </c>
      <c r="Q66" s="227"/>
      <c r="R66" s="228"/>
    </row>
    <row r="67" spans="12:18" x14ac:dyDescent="0.25">
      <c r="L67" s="234" t="s">
        <v>441</v>
      </c>
      <c r="M67" s="235"/>
      <c r="N67" s="235"/>
      <c r="O67" s="235"/>
      <c r="P67" s="235"/>
      <c r="Q67" s="235"/>
      <c r="R67" s="236"/>
    </row>
    <row r="68" spans="12:18" x14ac:dyDescent="0.25">
      <c r="L68" s="212"/>
      <c r="M68" s="210">
        <v>0.09</v>
      </c>
      <c r="N68" s="209">
        <v>4.1000000000000002E-2</v>
      </c>
      <c r="O68" s="209">
        <v>0.221</v>
      </c>
      <c r="P68" s="210">
        <v>2.5000000000000001E-3</v>
      </c>
      <c r="Q68" s="210">
        <v>0.1583</v>
      </c>
      <c r="R68" s="213">
        <v>2.07E-2</v>
      </c>
    </row>
    <row r="69" spans="12:18" ht="15.75" thickBot="1" x14ac:dyDescent="0.3">
      <c r="L69" s="214" t="s">
        <v>432</v>
      </c>
      <c r="M69" s="215">
        <v>0.24199999999999999</v>
      </c>
      <c r="N69" s="216"/>
      <c r="O69" s="216"/>
      <c r="P69" s="215">
        <v>0.15959999999999999</v>
      </c>
      <c r="Q69" s="215"/>
      <c r="R69" s="217"/>
    </row>
  </sheetData>
  <mergeCells count="17">
    <mergeCell ref="L62:R62"/>
    <mergeCell ref="M63:O63"/>
    <mergeCell ref="P63:R63"/>
    <mergeCell ref="L67:R67"/>
    <mergeCell ref="A5:G5"/>
    <mergeCell ref="A3:G3"/>
    <mergeCell ref="B2:D2"/>
    <mergeCell ref="E2:G2"/>
    <mergeCell ref="L57:R57"/>
    <mergeCell ref="M58:O58"/>
    <mergeCell ref="P58:R58"/>
    <mergeCell ref="B43:D43"/>
    <mergeCell ref="E43:G43"/>
    <mergeCell ref="B18:D18"/>
    <mergeCell ref="E18:G18"/>
    <mergeCell ref="A13:G13"/>
    <mergeCell ref="A10:G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daten</vt:lpstr>
      <vt:lpstr>PA</vt:lpstr>
      <vt:lpstr>PA (2)</vt:lpstr>
      <vt:lpstr>Verd</vt:lpstr>
      <vt:lpstr>Verd (2)</vt:lpstr>
      <vt:lpstr>Verteilung</vt:lpstr>
      <vt:lpstr>Gewichte</vt:lpstr>
      <vt:lpstr>Lage TCP</vt:lpstr>
      <vt:lpstr>baseTests</vt:lpstr>
      <vt:lpstr>kinemat.</vt:lpstr>
      <vt:lpstr>Vergleich_10PM-KB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Weis, Jan Niklas</dc:creator>
  <cp:lastModifiedBy>jan weis</cp:lastModifiedBy>
  <dcterms:created xsi:type="dcterms:W3CDTF">2018-07-06T13:52:38Z</dcterms:created>
  <dcterms:modified xsi:type="dcterms:W3CDTF">2018-08-17T17:46:33Z</dcterms:modified>
</cp:coreProperties>
</file>